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H:\ASQ\Documents\"/>
    </mc:Choice>
  </mc:AlternateContent>
  <bookViews>
    <workbookView xWindow="0" yWindow="105" windowWidth="25200" windowHeight="12315" tabRatio="740"/>
  </bookViews>
  <sheets>
    <sheet name="Rules for PPAP" sheetId="17" r:id="rId1"/>
    <sheet name="PSW" sheetId="1" r:id="rId2"/>
    <sheet name="Content" sheetId="20" r:id="rId3"/>
    <sheet name="DIM Test" sheetId="2" r:id="rId4"/>
    <sheet name="MAT Test" sheetId="4" r:id="rId5"/>
    <sheet name="Performance Test" sheetId="5" r:id="rId6"/>
    <sheet name="P-FMEA" sheetId="22" r:id="rId7"/>
    <sheet name="Process Capability" sheetId="13" r:id="rId8"/>
    <sheet name="Self Assessment Product" sheetId="25" r:id="rId9"/>
    <sheet name="Self Assessment Process" sheetId="24" r:id="rId10"/>
    <sheet name="Tool List" sheetId="23" r:id="rId11"/>
    <sheet name="Checking Aids" sheetId="14" r:id="rId12"/>
    <sheet name="Part Delivery History" sheetId="8" r:id="rId13"/>
    <sheet name="PPAP Status Sub-Suppliers" sheetId="15" r:id="rId14"/>
    <sheet name="Packaging" sheetId="26" r:id="rId15"/>
    <sheet name="Capacity Confirmation" sheetId="27" r:id="rId16"/>
    <sheet name="Translations" sheetId="3" state="hidden" r:id="rId17"/>
  </sheets>
  <definedNames>
    <definedName name="_xlnm.Print_Area" localSheetId="15">'Capacity Confirmation'!$A$1:$AE$78</definedName>
    <definedName name="_xlnm.Print_Area" localSheetId="11">'Checking Aids'!$A$1:$AD$37</definedName>
    <definedName name="_xlnm.Print_Area" localSheetId="2">Content!$A$1:$AH$102</definedName>
    <definedName name="_xlnm.Print_Area" localSheetId="3">'DIM Test'!$A$1:$AG$61</definedName>
    <definedName name="_xlnm.Print_Area" localSheetId="4">'MAT Test'!$A$1:$AE$59</definedName>
    <definedName name="_xlnm.Print_Area" localSheetId="14">Packaging!$A$1:$AD$81</definedName>
    <definedName name="_xlnm.Print_Area" localSheetId="12">'Part Delivery History'!$A$1:$AE$37</definedName>
    <definedName name="_xlnm.Print_Area" localSheetId="6">'P-FMEA'!$A$1:$AG$42</definedName>
    <definedName name="_xlnm.Print_Area" localSheetId="13">'PPAP Status Sub-Suppliers'!$A$1:$AD$44</definedName>
    <definedName name="_xlnm.Print_Area" localSheetId="7">'Process Capability'!$A$1:$AE$56</definedName>
    <definedName name="_xlnm.Print_Area" localSheetId="1">PSW!$A$1:$AK$115</definedName>
    <definedName name="_xlnm.Print_Area" localSheetId="9">'Self Assessment Process'!$A$1:$AN$82</definedName>
    <definedName name="_xlnm.Print_Area" localSheetId="8">'Self Assessment Product'!$A$1:$AN$75</definedName>
    <definedName name="_xlnm.Print_Area" localSheetId="10">'Tool List'!$A$1:$AH$44</definedName>
  </definedNames>
  <calcPr calcId="152511"/>
</workbook>
</file>

<file path=xl/calcChain.xml><?xml version="1.0" encoding="utf-8"?>
<calcChain xmlns="http://schemas.openxmlformats.org/spreadsheetml/2006/main">
  <c r="H5" i="22" l="1"/>
  <c r="P29" i="27"/>
  <c r="U44" i="27"/>
  <c r="U43" i="27"/>
  <c r="W5" i="27" l="1"/>
  <c r="V4" i="27"/>
  <c r="A78" i="27"/>
  <c r="A76" i="27"/>
  <c r="P74" i="27"/>
  <c r="P73" i="27"/>
  <c r="P72" i="27"/>
  <c r="P71" i="27"/>
  <c r="P70" i="27"/>
  <c r="B70" i="27"/>
  <c r="C67" i="27"/>
  <c r="P63" i="27"/>
  <c r="P65" i="27"/>
  <c r="P67" i="27"/>
  <c r="C65" i="27"/>
  <c r="C63" i="27"/>
  <c r="C61" i="27"/>
  <c r="C59" i="27"/>
  <c r="C57" i="27"/>
  <c r="C55" i="27"/>
  <c r="C53" i="27"/>
  <c r="C50" i="27"/>
  <c r="R55" i="27"/>
  <c r="R53" i="27"/>
  <c r="R50" i="27"/>
  <c r="Y50" i="27"/>
  <c r="B47" i="27"/>
  <c r="U47" i="27"/>
  <c r="U41" i="27"/>
  <c r="K47" i="27"/>
  <c r="U42" i="27"/>
  <c r="U17" i="27"/>
  <c r="C44" i="27"/>
  <c r="C43" i="27"/>
  <c r="C42" i="27"/>
  <c r="C41" i="27"/>
  <c r="B40" i="27"/>
  <c r="B37" i="27"/>
  <c r="I38" i="27" l="1"/>
  <c r="Q38" i="27"/>
  <c r="Q36" i="27"/>
  <c r="M36" i="27"/>
  <c r="I36" i="27"/>
  <c r="B23" i="27"/>
  <c r="B35" i="27"/>
  <c r="B27" i="27"/>
  <c r="A32" i="27"/>
  <c r="A11" i="27"/>
  <c r="N29" i="27"/>
  <c r="N25" i="27"/>
  <c r="N23" i="27"/>
  <c r="U21" i="27"/>
  <c r="B29" i="27"/>
  <c r="B25" i="27"/>
  <c r="C21" i="27"/>
  <c r="C19" i="27"/>
  <c r="C17" i="27"/>
  <c r="U19" i="27"/>
  <c r="U15" i="27"/>
  <c r="U13" i="27"/>
  <c r="B15" i="27"/>
  <c r="B13" i="27"/>
  <c r="P1" i="27"/>
  <c r="N53" i="27" l="1"/>
  <c r="Q35" i="27"/>
  <c r="Q37" i="27" s="1"/>
  <c r="P27" i="27"/>
  <c r="L25" i="27"/>
  <c r="Y21" i="27"/>
  <c r="Y19" i="27"/>
  <c r="Y17" i="27"/>
  <c r="Q15" i="27"/>
  <c r="P1" i="26"/>
  <c r="H4" i="23"/>
  <c r="G4" i="24"/>
  <c r="G4" i="25"/>
  <c r="E4" i="2"/>
  <c r="E4" i="22" s="1"/>
  <c r="Q1" i="4"/>
  <c r="B2" i="1"/>
  <c r="L29" i="27" l="1"/>
  <c r="L23" i="27"/>
  <c r="P42" i="27" s="1"/>
  <c r="P41" i="27" l="1"/>
  <c r="N50" i="27" s="1"/>
  <c r="N55" i="27" s="1"/>
  <c r="P23" i="27"/>
  <c r="N57" i="27"/>
  <c r="A11" i="26"/>
  <c r="A32" i="8"/>
  <c r="M32" i="8"/>
  <c r="A30" i="8"/>
  <c r="M30" i="8"/>
  <c r="M11" i="8"/>
  <c r="C114" i="1"/>
  <c r="C109" i="1"/>
  <c r="L70" i="27" l="1"/>
  <c r="L71" i="27" s="1"/>
  <c r="L72" i="27" s="1"/>
  <c r="L74" i="27" s="1"/>
  <c r="V11" i="23"/>
  <c r="A8" i="4"/>
  <c r="E12" i="20"/>
  <c r="L73" i="27" l="1"/>
  <c r="M34" i="23"/>
  <c r="L42" i="15"/>
  <c r="X34" i="23"/>
  <c r="U42" i="15"/>
  <c r="AG34" i="23"/>
  <c r="AC42" i="15"/>
  <c r="R11" i="23"/>
  <c r="U1" i="23"/>
  <c r="U76" i="24"/>
  <c r="U67" i="25"/>
  <c r="U1" i="24"/>
  <c r="U1" i="25"/>
  <c r="F67" i="25"/>
  <c r="I5" i="2"/>
  <c r="H5" i="27" l="1"/>
  <c r="I5" i="8"/>
  <c r="H5" i="26"/>
  <c r="K5" i="23"/>
  <c r="I5" i="25"/>
  <c r="I5" i="24"/>
  <c r="H5" i="15"/>
  <c r="H5" i="13"/>
  <c r="N76" i="1"/>
  <c r="A11" i="23" l="1"/>
  <c r="M51" i="24" l="1"/>
  <c r="M34" i="25"/>
  <c r="M44" i="25"/>
  <c r="AC44" i="25"/>
  <c r="G44" i="25"/>
  <c r="M40" i="25"/>
  <c r="M33" i="25"/>
  <c r="M54" i="25" l="1"/>
  <c r="G54" i="25"/>
  <c r="G53" i="25"/>
  <c r="M53" i="25"/>
  <c r="AC53" i="25"/>
  <c r="G58" i="25"/>
  <c r="G57" i="25"/>
  <c r="M57" i="25"/>
  <c r="AC57" i="25"/>
  <c r="AC58" i="25"/>
  <c r="AC61" i="25"/>
  <c r="G61" i="25"/>
  <c r="M61" i="25"/>
  <c r="A61" i="25"/>
  <c r="A57" i="25"/>
  <c r="A53" i="25"/>
  <c r="G49" i="25"/>
  <c r="AC49" i="25"/>
  <c r="M50" i="25"/>
  <c r="M48" i="25"/>
  <c r="AC48" i="25"/>
  <c r="G48" i="25"/>
  <c r="A48" i="25"/>
  <c r="AC43" i="25"/>
  <c r="M43" i="25"/>
  <c r="G43" i="25"/>
  <c r="G40" i="25"/>
  <c r="AC39" i="25"/>
  <c r="M39" i="25"/>
  <c r="G39" i="25"/>
  <c r="A46" i="25"/>
  <c r="A45" i="25"/>
  <c r="A44" i="25"/>
  <c r="A43" i="25"/>
  <c r="A39" i="25"/>
  <c r="AC33" i="25"/>
  <c r="G34" i="25"/>
  <c r="G33" i="25"/>
  <c r="A33" i="25"/>
  <c r="A12" i="25"/>
  <c r="I74" i="25"/>
  <c r="B74" i="25"/>
  <c r="AC32" i="25"/>
  <c r="M32" i="25"/>
  <c r="G32" i="25"/>
  <c r="A29" i="25"/>
  <c r="Q27" i="25"/>
  <c r="A27" i="25"/>
  <c r="A25" i="25"/>
  <c r="R22" i="25"/>
  <c r="A22" i="25"/>
  <c r="A20" i="25"/>
  <c r="Q16" i="25"/>
  <c r="A16" i="25"/>
  <c r="Q14" i="25"/>
  <c r="A14" i="25"/>
  <c r="AC33" i="24"/>
  <c r="AC51" i="24"/>
  <c r="M44" i="24"/>
  <c r="AC32" i="24"/>
  <c r="A34" i="24"/>
  <c r="L81" i="24"/>
  <c r="B81" i="24"/>
  <c r="G76" i="24"/>
  <c r="M70" i="24"/>
  <c r="AC70" i="24"/>
  <c r="G71" i="24"/>
  <c r="AC69" i="24"/>
  <c r="M69" i="24"/>
  <c r="G69" i="24"/>
  <c r="AC66" i="24"/>
  <c r="M66" i="24"/>
  <c r="AC65" i="24"/>
  <c r="M65" i="24"/>
  <c r="G65" i="24"/>
  <c r="G60" i="24"/>
  <c r="M61" i="24"/>
  <c r="AC61" i="24"/>
  <c r="G62" i="24"/>
  <c r="AC60" i="24"/>
  <c r="M60" i="24"/>
  <c r="M57" i="24"/>
  <c r="G57" i="24"/>
  <c r="M56" i="24"/>
  <c r="AC56" i="24"/>
  <c r="G56" i="24"/>
  <c r="G53" i="24"/>
  <c r="G51" i="24"/>
  <c r="AC48" i="24"/>
  <c r="M48" i="24"/>
  <c r="G48" i="24"/>
  <c r="AC47" i="24"/>
  <c r="M47" i="24"/>
  <c r="G47" i="24"/>
  <c r="AC43" i="24"/>
  <c r="M43" i="24"/>
  <c r="G43" i="24"/>
  <c r="M39" i="24"/>
  <c r="G39" i="24"/>
  <c r="M40" i="24"/>
  <c r="AC39" i="24"/>
  <c r="G40" i="24"/>
  <c r="AC34" i="24"/>
  <c r="M34" i="24"/>
  <c r="M33" i="24"/>
  <c r="M32" i="24"/>
  <c r="G35" i="24" l="1"/>
  <c r="A29" i="24"/>
  <c r="G33" i="24"/>
  <c r="G32" i="24"/>
  <c r="A66" i="24" l="1"/>
  <c r="A65" i="24"/>
  <c r="A69" i="24"/>
  <c r="A60" i="24"/>
  <c r="A47" i="24"/>
  <c r="A48" i="24"/>
  <c r="A43" i="24"/>
  <c r="A44" i="24"/>
  <c r="A39" i="24"/>
  <c r="A20" i="24" l="1"/>
  <c r="A35" i="24" l="1"/>
  <c r="A27" i="24"/>
  <c r="A33" i="24"/>
  <c r="A25" i="24"/>
  <c r="A22" i="24"/>
  <c r="Q27" i="24"/>
  <c r="R22" i="24"/>
  <c r="A14" i="24"/>
  <c r="A16" i="24"/>
  <c r="R16" i="24"/>
  <c r="Q14" i="24"/>
  <c r="A12" i="24"/>
  <c r="K11" i="23"/>
  <c r="AH11" i="23" l="1"/>
  <c r="AD13" i="23"/>
  <c r="AD11" i="23"/>
  <c r="AB11" i="23"/>
  <c r="Y11" i="23"/>
  <c r="I11" i="23"/>
  <c r="P1" i="15" l="1"/>
  <c r="O10" i="5"/>
  <c r="U1" i="20"/>
  <c r="P1" i="13" l="1"/>
  <c r="Q10" i="13"/>
  <c r="P1" i="22"/>
  <c r="A11" i="22"/>
  <c r="AF40" i="22" l="1"/>
  <c r="AD54" i="13"/>
  <c r="X40" i="22"/>
  <c r="AE11" i="22"/>
  <c r="AG11" i="22"/>
  <c r="A37" i="22"/>
  <c r="A36" i="22"/>
  <c r="A35" i="22"/>
  <c r="E35" i="22"/>
  <c r="E34" i="22"/>
  <c r="A33" i="22"/>
  <c r="E33" i="22"/>
  <c r="E32" i="22"/>
  <c r="E31" i="22"/>
  <c r="A34" i="22"/>
  <c r="A32" i="22"/>
  <c r="A31" i="22"/>
  <c r="A30" i="22"/>
  <c r="AF29" i="22"/>
  <c r="I29" i="22"/>
  <c r="A29" i="22"/>
  <c r="C27" i="22"/>
  <c r="S25" i="22"/>
  <c r="A25" i="22"/>
  <c r="A24" i="22"/>
  <c r="A22" i="22"/>
  <c r="A21" i="22"/>
  <c r="A20" i="22"/>
  <c r="A19" i="22"/>
  <c r="A18" i="22"/>
  <c r="A17" i="22"/>
  <c r="A16" i="22"/>
  <c r="A15" i="22"/>
  <c r="A14" i="22"/>
  <c r="A13" i="22"/>
  <c r="A12" i="22"/>
  <c r="N40" i="22"/>
  <c r="O1" i="14" l="1"/>
  <c r="B11" i="14"/>
  <c r="E42" i="20" l="1"/>
  <c r="B5" i="17"/>
  <c r="B2" i="17"/>
  <c r="A11" i="15"/>
  <c r="E15" i="20" l="1"/>
  <c r="S9" i="2"/>
  <c r="S7" i="2"/>
  <c r="Y5" i="2"/>
  <c r="X4" i="2"/>
  <c r="U10" i="20"/>
  <c r="A10" i="20"/>
  <c r="X10" i="20"/>
  <c r="A91" i="20"/>
  <c r="E89" i="20"/>
  <c r="E86" i="20"/>
  <c r="E83" i="20"/>
  <c r="E80" i="20"/>
  <c r="E77" i="20"/>
  <c r="E74" i="20"/>
  <c r="E71" i="20"/>
  <c r="E66" i="20"/>
  <c r="E63" i="20"/>
  <c r="E60" i="20"/>
  <c r="E57" i="20"/>
  <c r="E54" i="20"/>
  <c r="E51" i="20"/>
  <c r="E48" i="20"/>
  <c r="E45" i="20"/>
  <c r="E39" i="20"/>
  <c r="E36" i="20"/>
  <c r="E33" i="20"/>
  <c r="E30" i="20"/>
  <c r="E27" i="20"/>
  <c r="E24" i="20"/>
  <c r="E21" i="20"/>
  <c r="E18" i="20"/>
  <c r="AG100" i="20"/>
  <c r="Y100" i="20"/>
  <c r="P100" i="20"/>
  <c r="AE59" i="2"/>
  <c r="W59" i="2"/>
  <c r="N59" i="2"/>
  <c r="P1" i="2"/>
  <c r="A5" i="2"/>
  <c r="A4" i="2"/>
  <c r="S9" i="22" l="1"/>
  <c r="U9" i="25"/>
  <c r="R9" i="13"/>
  <c r="U9" i="23"/>
  <c r="U9" i="24"/>
  <c r="U7" i="25"/>
  <c r="U7" i="23"/>
  <c r="U7" i="24"/>
  <c r="R7" i="13"/>
  <c r="Y5" i="22"/>
  <c r="Z5" i="23"/>
  <c r="Z5" i="24"/>
  <c r="Z5" i="25"/>
  <c r="W5" i="13"/>
  <c r="Y4" i="23"/>
  <c r="Y4" i="25"/>
  <c r="Y4" i="24"/>
  <c r="V4" i="13"/>
  <c r="E4" i="27"/>
  <c r="E4" i="26"/>
  <c r="U4" i="14"/>
  <c r="X4" i="22"/>
  <c r="E4" i="13"/>
  <c r="S7" i="22"/>
  <c r="B11" i="8"/>
  <c r="U4" i="26" l="1"/>
  <c r="P1" i="8"/>
  <c r="E4" i="15"/>
  <c r="R9" i="8"/>
  <c r="R7" i="8"/>
  <c r="W5" i="8"/>
  <c r="V4" i="8"/>
  <c r="E4" i="8"/>
  <c r="H5" i="14"/>
  <c r="E4" i="14"/>
  <c r="Q9" i="14"/>
  <c r="Q7" i="14"/>
  <c r="V5" i="14"/>
  <c r="U4" i="15"/>
  <c r="E4" i="5"/>
  <c r="R9" i="5"/>
  <c r="R7" i="5"/>
  <c r="H5" i="5"/>
  <c r="H5" i="4"/>
  <c r="E4" i="4"/>
  <c r="W5" i="5"/>
  <c r="V4" i="5"/>
  <c r="R9" i="4"/>
  <c r="R7" i="4"/>
  <c r="W5" i="4"/>
  <c r="V4" i="4"/>
  <c r="R8" i="4"/>
  <c r="Q8" i="27" s="1"/>
  <c r="S8" i="2"/>
  <c r="S4" i="2"/>
  <c r="A12" i="15"/>
  <c r="Z12" i="15"/>
  <c r="U12" i="15"/>
  <c r="L12" i="15"/>
  <c r="AD35" i="8"/>
  <c r="V35" i="8"/>
  <c r="M35" i="8"/>
  <c r="AC11" i="8"/>
  <c r="Y11" i="8"/>
  <c r="T11" i="8"/>
  <c r="Q11" i="8"/>
  <c r="J11" i="8"/>
  <c r="A11" i="8"/>
  <c r="A11" i="14"/>
  <c r="AC35" i="14"/>
  <c r="U35" i="14"/>
  <c r="M35" i="14"/>
  <c r="N11" i="14"/>
  <c r="AA11" i="14"/>
  <c r="T11" i="14"/>
  <c r="Q7" i="15" l="1"/>
  <c r="Q7" i="27"/>
  <c r="Q7" i="26"/>
  <c r="V5" i="15"/>
  <c r="V5" i="26"/>
  <c r="Q9" i="15"/>
  <c r="Q9" i="27"/>
  <c r="Q9" i="26"/>
  <c r="U8" i="25"/>
  <c r="Q8" i="26"/>
  <c r="U8" i="23"/>
  <c r="U8" i="24"/>
  <c r="U8" i="20"/>
  <c r="S8" i="22"/>
  <c r="A10" i="13"/>
  <c r="V54" i="13"/>
  <c r="N54" i="13"/>
  <c r="AC59" i="5"/>
  <c r="U59" i="5"/>
  <c r="L59" i="5"/>
  <c r="R11" i="13" l="1"/>
  <c r="Q11" i="13"/>
  <c r="W10" i="13"/>
  <c r="J10" i="13"/>
  <c r="B10" i="13"/>
  <c r="A10" i="2"/>
  <c r="U11" i="2"/>
  <c r="S11" i="2"/>
  <c r="AC10" i="5"/>
  <c r="AA11" i="4"/>
  <c r="AA11" i="5"/>
  <c r="Y11" i="5"/>
  <c r="Y10" i="5"/>
  <c r="Y12" i="4"/>
  <c r="W12" i="4"/>
  <c r="W11" i="4"/>
  <c r="R11" i="4"/>
  <c r="AB57" i="4"/>
  <c r="U57" i="4"/>
  <c r="L57" i="4"/>
  <c r="P11" i="4"/>
  <c r="M10" i="5"/>
  <c r="N11" i="4"/>
  <c r="H10" i="5"/>
  <c r="H11" i="4"/>
  <c r="A11" i="4" l="1"/>
  <c r="AC10" i="2"/>
  <c r="AF10" i="2" l="1"/>
  <c r="W10" i="2"/>
  <c r="S10" i="2"/>
  <c r="I10" i="2"/>
  <c r="S99" i="1" l="1"/>
  <c r="S98" i="1"/>
  <c r="W87" i="1"/>
  <c r="G76" i="1"/>
  <c r="B90" i="1" l="1"/>
  <c r="C88" i="1"/>
  <c r="C102" i="1"/>
  <c r="C95" i="1"/>
  <c r="K87" i="1"/>
  <c r="C82" i="1"/>
  <c r="C85" i="1"/>
  <c r="C33" i="1"/>
  <c r="D32" i="1"/>
  <c r="S7" i="1"/>
  <c r="C4" i="1"/>
  <c r="C5" i="1"/>
  <c r="O17" i="1"/>
  <c r="Q10" i="5"/>
  <c r="A10" i="5"/>
  <c r="P1" i="5"/>
  <c r="R10" i="4"/>
  <c r="A7" i="4"/>
  <c r="A6" i="4"/>
  <c r="B10" i="2"/>
  <c r="S6" i="2"/>
  <c r="R6" i="4" s="1"/>
  <c r="Q6" i="27" s="1"/>
  <c r="S5" i="2"/>
  <c r="R5" i="4" s="1"/>
  <c r="Q5" i="27" s="1"/>
  <c r="R4" i="4"/>
  <c r="Q4" i="27" s="1"/>
  <c r="A6" i="2"/>
  <c r="A5" i="4"/>
  <c r="A5" i="27" s="1"/>
  <c r="A4" i="4"/>
  <c r="A4" i="27" s="1"/>
  <c r="Q112" i="1"/>
  <c r="V106" i="1"/>
  <c r="Q106" i="1"/>
  <c r="K106" i="1"/>
  <c r="C106" i="1"/>
  <c r="B104" i="1"/>
  <c r="C99" i="1"/>
  <c r="C98" i="1"/>
  <c r="C112" i="1" s="1"/>
  <c r="AD95" i="1"/>
  <c r="C92" i="1"/>
  <c r="C84" i="1"/>
  <c r="AD79" i="1"/>
  <c r="AG76" i="1"/>
  <c r="C79" i="1"/>
  <c r="B76" i="1"/>
  <c r="W76" i="1"/>
  <c r="C74" i="1"/>
  <c r="D72" i="1"/>
  <c r="D69" i="1"/>
  <c r="D66" i="1"/>
  <c r="D63" i="1"/>
  <c r="D60" i="1"/>
  <c r="C57" i="1"/>
  <c r="U48" i="1"/>
  <c r="U45" i="1"/>
  <c r="U42" i="1"/>
  <c r="U51" i="1"/>
  <c r="U54" i="1"/>
  <c r="D54" i="1"/>
  <c r="D51" i="1"/>
  <c r="D48" i="1"/>
  <c r="D45" i="1"/>
  <c r="D42" i="1"/>
  <c r="C39" i="1"/>
  <c r="C36" i="1"/>
  <c r="AI30" i="1"/>
  <c r="AI36" i="1" s="1"/>
  <c r="AE102" i="1" s="1"/>
  <c r="P14" i="1"/>
  <c r="AE30" i="1" s="1"/>
  <c r="AE36" i="1" s="1"/>
  <c r="C30" i="1"/>
  <c r="C28" i="1"/>
  <c r="C26" i="1"/>
  <c r="T26" i="1"/>
  <c r="M26" i="1"/>
  <c r="H26" i="1"/>
  <c r="E26" i="1"/>
  <c r="T24" i="1"/>
  <c r="C24" i="1"/>
  <c r="T22" i="1"/>
  <c r="C22" i="1"/>
  <c r="T19" i="1"/>
  <c r="C19" i="1"/>
  <c r="C17" i="1"/>
  <c r="AE14" i="1"/>
  <c r="R14" i="1"/>
  <c r="M14" i="1"/>
  <c r="AB30" i="1" s="1"/>
  <c r="AB36" i="1" s="1"/>
  <c r="W79" i="1" s="1"/>
  <c r="C11" i="1"/>
  <c r="C14" i="1"/>
  <c r="C9" i="1"/>
  <c r="Z9" i="1"/>
  <c r="Z11" i="1" s="1"/>
  <c r="AE17" i="1" s="1"/>
  <c r="AC109" i="1" s="1"/>
  <c r="C7" i="1"/>
  <c r="S5" i="1"/>
  <c r="A4" i="25" l="1"/>
  <c r="A4" i="26"/>
  <c r="U5" i="25"/>
  <c r="Q5" i="26"/>
  <c r="A5" i="25"/>
  <c r="A5" i="26"/>
  <c r="U6" i="25"/>
  <c r="Q6" i="26"/>
  <c r="U4" i="25"/>
  <c r="Q4" i="26"/>
  <c r="A4" i="23"/>
  <c r="A4" i="24"/>
  <c r="U5" i="23"/>
  <c r="U5" i="24"/>
  <c r="A5" i="23"/>
  <c r="A5" i="24"/>
  <c r="U6" i="23"/>
  <c r="U6" i="24"/>
  <c r="U4" i="23"/>
  <c r="U4" i="24"/>
  <c r="U5" i="20"/>
  <c r="S5" i="22"/>
  <c r="A5" i="20"/>
  <c r="A5" i="22"/>
  <c r="U6" i="20"/>
  <c r="S6" i="22"/>
  <c r="U4" i="20"/>
  <c r="S4" i="22"/>
  <c r="A4" i="20"/>
  <c r="A4" i="22"/>
  <c r="Q5" i="15"/>
  <c r="Q5" i="14"/>
  <c r="R5" i="13"/>
  <c r="R6" i="13"/>
  <c r="Q6" i="15"/>
  <c r="Q6" i="14"/>
  <c r="Q8" i="15"/>
  <c r="Q8" i="14"/>
  <c r="R8" i="13"/>
  <c r="A4" i="13"/>
  <c r="A4" i="15"/>
  <c r="A4" i="14"/>
  <c r="A5" i="14"/>
  <c r="A5" i="13"/>
  <c r="A5" i="15"/>
  <c r="Q4" i="15"/>
  <c r="Q4" i="14"/>
  <c r="R4" i="13"/>
  <c r="R6" i="5"/>
  <c r="R6" i="8"/>
  <c r="R8" i="5"/>
  <c r="R8" i="8"/>
  <c r="R4" i="5"/>
  <c r="R4" i="8"/>
  <c r="A5" i="5"/>
  <c r="A5" i="8"/>
  <c r="A8" i="5"/>
  <c r="A6" i="5"/>
  <c r="A4" i="5"/>
  <c r="A4" i="8"/>
  <c r="R5" i="5"/>
  <c r="R5" i="8"/>
  <c r="A7" i="5"/>
  <c r="AB79" i="1"/>
  <c r="AB102" i="1"/>
  <c r="W102" i="1"/>
</calcChain>
</file>

<file path=xl/sharedStrings.xml><?xml version="1.0" encoding="utf-8"?>
<sst xmlns="http://schemas.openxmlformats.org/spreadsheetml/2006/main" count="1249" uniqueCount="1164">
  <si>
    <t>Yes</t>
  </si>
  <si>
    <t>No</t>
  </si>
  <si>
    <t>Dated</t>
  </si>
  <si>
    <t>Additional Engineering Changes</t>
  </si>
  <si>
    <t>Shown on Drawing No.</t>
  </si>
  <si>
    <t>Engineering Change Level</t>
  </si>
  <si>
    <t>Application</t>
  </si>
  <si>
    <t>Engineering Change(s)</t>
  </si>
  <si>
    <t>Change to Optimal Construction or Material</t>
  </si>
  <si>
    <t>Change in Part Processing</t>
  </si>
  <si>
    <t>Correction of Discrepancy</t>
  </si>
  <si>
    <t>REQUESTED SUBMISSION LEVEL (Check one)</t>
  </si>
  <si>
    <t>SUBMISSION RESULTS</t>
  </si>
  <si>
    <t>DECLARATION</t>
  </si>
  <si>
    <t>Print Name</t>
  </si>
  <si>
    <t>Title</t>
  </si>
  <si>
    <t>Phone No.</t>
  </si>
  <si>
    <t>Date</t>
  </si>
  <si>
    <t>Customer Signature</t>
  </si>
  <si>
    <t>Part Submission Warrant</t>
  </si>
  <si>
    <t>FAX No.</t>
  </si>
  <si>
    <t>FOR CUSTOMER USE ONLY (IF APPLICABLE)</t>
  </si>
  <si>
    <t>These results meet all drawing and specification requirements:</t>
  </si>
  <si>
    <t>Part Name</t>
  </si>
  <si>
    <t>Safety and/or Government Regulation</t>
  </si>
  <si>
    <t>Purchase Order No.</t>
  </si>
  <si>
    <t>Checking Aid Engineering Change Level</t>
  </si>
  <si>
    <t>CUSTOMER SUBMITTAL INFORMATION</t>
  </si>
  <si>
    <t>MATERIALS REPORTING</t>
  </si>
  <si>
    <t>n/a</t>
  </si>
  <si>
    <t>Submitted by IMDS or other customer format:</t>
  </si>
  <si>
    <t>Are polymeric parts identified with appropriate ISO marking codes?</t>
  </si>
  <si>
    <t>Tooling inactive &gt; than 1 year</t>
  </si>
  <si>
    <t>Organization Authorized Signature</t>
  </si>
  <si>
    <t>PPAP Warrant Disposition:</t>
  </si>
  <si>
    <t>Customer Tracking Number (optional)</t>
  </si>
  <si>
    <t>Has customer-required Substances of Concern information been reported?</t>
  </si>
  <si>
    <t>Initial Submission</t>
  </si>
  <si>
    <t>ORGANIZATION:</t>
  </si>
  <si>
    <t>SUPPLIER / VENDOR CODE:</t>
  </si>
  <si>
    <t>INSPECTION FACILITY:</t>
  </si>
  <si>
    <t>PART NUMBER:</t>
  </si>
  <si>
    <t>PART NAME:</t>
  </si>
  <si>
    <t>DESIGN RECORD CHANGE LEVEL:</t>
  </si>
  <si>
    <t>ENGINEERING CHANGE DOCUMENTS:</t>
  </si>
  <si>
    <t>ITEM</t>
  </si>
  <si>
    <t>DIMENSION / SPECIFICATION</t>
  </si>
  <si>
    <t>SPECIFICATION / LIMITS</t>
  </si>
  <si>
    <t>TEST DATE</t>
  </si>
  <si>
    <t>QTY. TESTED</t>
  </si>
  <si>
    <t>NOT OK</t>
  </si>
  <si>
    <t>OK</t>
  </si>
  <si>
    <t>SUPPLIER TEST RESULTS (DATA)</t>
  </si>
  <si>
    <t>MATERIAL SUPPLIER:</t>
  </si>
  <si>
    <t>* CUSTOMER SPECIFIED SUPPLIER / VENDOR CODE:</t>
  </si>
  <si>
    <t>TEST SPECIFICATION / REV / DATE</t>
  </si>
  <si>
    <t>#</t>
  </si>
  <si>
    <t>german</t>
  </si>
  <si>
    <t>english</t>
  </si>
  <si>
    <t>spanish</t>
  </si>
  <si>
    <t>other</t>
  </si>
  <si>
    <t>part submission warrant</t>
  </si>
  <si>
    <t>part name</t>
  </si>
  <si>
    <t>customer part number</t>
  </si>
  <si>
    <t>shown on drawing</t>
  </si>
  <si>
    <t>orgpartnumber</t>
  </si>
  <si>
    <t>engineeringchangelevel</t>
  </si>
  <si>
    <t>dated</t>
  </si>
  <si>
    <t>additional engineerring changes</t>
  </si>
  <si>
    <t>safetyandorgovernment</t>
  </si>
  <si>
    <t>yes</t>
  </si>
  <si>
    <t>no</t>
  </si>
  <si>
    <t>purchseorder</t>
  </si>
  <si>
    <t>weight</t>
  </si>
  <si>
    <t>checkingaid</t>
  </si>
  <si>
    <t>chceckingaidengineeringchangelevel</t>
  </si>
  <si>
    <t>organization manufacturing info</t>
  </si>
  <si>
    <t>customer submittal info</t>
  </si>
  <si>
    <t>organization name&amp;supplier</t>
  </si>
  <si>
    <t>customer namedivision</t>
  </si>
  <si>
    <t>street address</t>
  </si>
  <si>
    <t>buyerbuyercode</t>
  </si>
  <si>
    <t>city</t>
  </si>
  <si>
    <t>region</t>
  </si>
  <si>
    <t>postalcode</t>
  </si>
  <si>
    <t>country</t>
  </si>
  <si>
    <t>application</t>
  </si>
  <si>
    <t>materials reporting</t>
  </si>
  <si>
    <t>has customer-requred substancesofconcern</t>
  </si>
  <si>
    <t>na</t>
  </si>
  <si>
    <t>submitted by imds or other</t>
  </si>
  <si>
    <t>are polymericpartsidentified</t>
  </si>
  <si>
    <t>reason for submissionchekat</t>
  </si>
  <si>
    <t>initial submission</t>
  </si>
  <si>
    <t>engineeringchangesss</t>
  </si>
  <si>
    <t>toolingtransferreplacement</t>
  </si>
  <si>
    <t>correctionofdiscrepancy</t>
  </si>
  <si>
    <t>toolinginactive</t>
  </si>
  <si>
    <t>changetooptimalconstruction</t>
  </si>
  <si>
    <t>subsupplierormaterialchange</t>
  </si>
  <si>
    <t>changeinpartprocessing</t>
  </si>
  <si>
    <t>partsproducedatadditionalloc</t>
  </si>
  <si>
    <t>other please spec</t>
  </si>
  <si>
    <t>requestedsubmissionlevel</t>
  </si>
  <si>
    <t>level1</t>
  </si>
  <si>
    <t>level2</t>
  </si>
  <si>
    <t>level3</t>
  </si>
  <si>
    <t>level4</t>
  </si>
  <si>
    <t>level5</t>
  </si>
  <si>
    <t>submissionresults</t>
  </si>
  <si>
    <t>the results for</t>
  </si>
  <si>
    <t>dimensionalmeasure</t>
  </si>
  <si>
    <t>materialandfunction</t>
  </si>
  <si>
    <t>appearacecrit</t>
  </si>
  <si>
    <t>statistical process</t>
  </si>
  <si>
    <t>these results meet</t>
  </si>
  <si>
    <t>ifnoexplanationrequred</t>
  </si>
  <si>
    <t>moldcavityproductionprocess</t>
  </si>
  <si>
    <t>declaration</t>
  </si>
  <si>
    <t>i affirm thesamples</t>
  </si>
  <si>
    <t>ialsocertify</t>
  </si>
  <si>
    <t>explanationcomments</t>
  </si>
  <si>
    <t>iseachcustomertool</t>
  </si>
  <si>
    <t>organizaauthorizedsignatture</t>
  </si>
  <si>
    <t>date</t>
  </si>
  <si>
    <t>printname</t>
  </si>
  <si>
    <t>phone</t>
  </si>
  <si>
    <t>fax</t>
  </si>
  <si>
    <t>title</t>
  </si>
  <si>
    <t>email</t>
  </si>
  <si>
    <t>forcustomeruseonly</t>
  </si>
  <si>
    <t>ppapwarrant dispo</t>
  </si>
  <si>
    <t>approved</t>
  </si>
  <si>
    <t>rejected</t>
  </si>
  <si>
    <t>customersignature</t>
  </si>
  <si>
    <t>customertrackingnumber</t>
  </si>
  <si>
    <t>organization</t>
  </si>
  <si>
    <t>suppliervendorcode</t>
  </si>
  <si>
    <t>inspectionfacility</t>
  </si>
  <si>
    <t>item</t>
  </si>
  <si>
    <t>dimensionalspecification</t>
  </si>
  <si>
    <t>specificattionlimits</t>
  </si>
  <si>
    <t>testdate</t>
  </si>
  <si>
    <t>qtytested</t>
  </si>
  <si>
    <t>ok</t>
  </si>
  <si>
    <t>notok</t>
  </si>
  <si>
    <t>partnumber</t>
  </si>
  <si>
    <t>partname</t>
  </si>
  <si>
    <t>designrecordchalevel</t>
  </si>
  <si>
    <t>engineeringchange</t>
  </si>
  <si>
    <t>signature</t>
  </si>
  <si>
    <t>materialsupplier</t>
  </si>
  <si>
    <t>customerspecifiedsuppvendorcode</t>
  </si>
  <si>
    <t>ifsourceapproval</t>
  </si>
  <si>
    <t>nameoflab</t>
  </si>
  <si>
    <t>materiaspecnorevdate</t>
  </si>
  <si>
    <t>suppliertestresultdata</t>
  </si>
  <si>
    <t>ppadimensionaltestresult</t>
  </si>
  <si>
    <t>ppamaterialtestresult</t>
  </si>
  <si>
    <t>ppaperformancetestresult</t>
  </si>
  <si>
    <t>suppliertestresultdatatestconditions</t>
  </si>
  <si>
    <t>testspecificationrevdate</t>
  </si>
  <si>
    <t>SUPPLIER TEST RESULTS (DATA) / TEST CONDITIONS</t>
  </si>
  <si>
    <t>Other</t>
  </si>
  <si>
    <t>Rejected</t>
  </si>
  <si>
    <t>Approved</t>
  </si>
  <si>
    <t>Is each Customer Tool properly tagged and numbered?</t>
  </si>
  <si>
    <t>hours</t>
  </si>
  <si>
    <t>(If "No" - Explanation Required)</t>
  </si>
  <si>
    <t>statistical process package</t>
  </si>
  <si>
    <t>appearance criteria</t>
  </si>
  <si>
    <t>dimensional measurements</t>
  </si>
  <si>
    <t>Part Produced at Additional Location</t>
  </si>
  <si>
    <t>REASON FOR SUBMISSION (Check at least one)</t>
  </si>
  <si>
    <t>Country</t>
  </si>
  <si>
    <t>Postal Code</t>
  </si>
  <si>
    <t>Region</t>
  </si>
  <si>
    <t>City</t>
  </si>
  <si>
    <t>Buyer / Buyer Code</t>
  </si>
  <si>
    <t>Customer Name / Division</t>
  </si>
  <si>
    <t>ORGANIZATION MANUFACTURING INFORMATION</t>
  </si>
  <si>
    <t>Teilevorlage - Bestätigung (PSW)</t>
  </si>
  <si>
    <t>Name des Teils</t>
  </si>
  <si>
    <t>Zeichnungsnummer</t>
  </si>
  <si>
    <t>Teilenummer der Org.</t>
  </si>
  <si>
    <t>Technischer Änderungsstand</t>
  </si>
  <si>
    <t>Datum</t>
  </si>
  <si>
    <t>Zusätzliche technische Änderungen</t>
  </si>
  <si>
    <t>Sicherheits- oder gesetzl.Vorschrift</t>
  </si>
  <si>
    <t>Ja</t>
  </si>
  <si>
    <t>Nein</t>
  </si>
  <si>
    <t>Bestellnummer</t>
  </si>
  <si>
    <t>Kundenname / Division</t>
  </si>
  <si>
    <t>Straße, Hausnummer</t>
  </si>
  <si>
    <t>Einkäufer / Einkäufer - Kennnummer</t>
  </si>
  <si>
    <t>Stadt</t>
  </si>
  <si>
    <t>Postleitzahl</t>
  </si>
  <si>
    <t>Land</t>
  </si>
  <si>
    <t>Anwendung</t>
  </si>
  <si>
    <t>MATERIALBERICHTERSTATTUNG</t>
  </si>
  <si>
    <t>Wurden vom Kunden geforderte Informationen zu Problem - Substanzen berichtet?</t>
  </si>
  <si>
    <t>GRUND DER VORLAGE (mindestens einen ankreuzen)</t>
  </si>
  <si>
    <t>Erstmalige Vorlage</t>
  </si>
  <si>
    <t>Technische Änderung(en)</t>
  </si>
  <si>
    <t>Teile werden an einem weiteren Standort hergestellt</t>
  </si>
  <si>
    <t>Sonstiges - Bitte angeben</t>
  </si>
  <si>
    <t>GEFORDERTE VORLAGESTUFE (eine ankreuzen)</t>
  </si>
  <si>
    <t>ERGEBNISSE DER VORLAGE</t>
  </si>
  <si>
    <t>Ergebnisse von</t>
  </si>
  <si>
    <t>Maßprüfungen</t>
  </si>
  <si>
    <t>Diese Ergebnisse erfüllen alle Anforderungen der Entwicklungsunterlagen:</t>
  </si>
  <si>
    <t>(Falls "Nein" Erklärung gefordert)</t>
  </si>
  <si>
    <t>Form / Nest / Produktionsprozess</t>
  </si>
  <si>
    <t>ERKLÄRUNG</t>
  </si>
  <si>
    <t>Name in Druckschrift</t>
  </si>
  <si>
    <t>Position</t>
  </si>
  <si>
    <t>E-Mail</t>
  </si>
  <si>
    <t>NUR FÜR DEN KUNDENGEBRAUCH (FALLS ANWENDBAR)</t>
  </si>
  <si>
    <t>Sonstiges</t>
  </si>
  <si>
    <t>Nummer zur Verfolgung beim Kunden (optional)</t>
  </si>
  <si>
    <t>ORGANISATION:</t>
  </si>
  <si>
    <t>GENUTZTE PRÜFEINRICHTUNG:</t>
  </si>
  <si>
    <t>NR.</t>
  </si>
  <si>
    <t>MASS / SPEZIFIKATION</t>
  </si>
  <si>
    <t>SPEZIFIKATION / GRENZWERTE</t>
  </si>
  <si>
    <t>PRÜF- DATUM</t>
  </si>
  <si>
    <t>GEPRÜFTE ANZAHL</t>
  </si>
  <si>
    <t>TEILENUMMER:</t>
  </si>
  <si>
    <t>TECHNISCHE ÄNDERUNGSDOKUMENTE:</t>
  </si>
  <si>
    <t xml:space="preserve">UNTERSCHRIFT   </t>
  </si>
  <si>
    <t>MATERIALLIEFERANTEN:</t>
  </si>
  <si>
    <t>* VOM KUNDEN FESTGELEGTE LIEFERANTEN - KENNNUMMER:</t>
  </si>
  <si>
    <t>MATERIAL-SPEZIFIKATION NUMMER / REVISION / DATUM</t>
  </si>
  <si>
    <t>TESTSPEZIFIKATION / REVISION / DATUM</t>
  </si>
  <si>
    <t>Select language:</t>
  </si>
  <si>
    <t>English</t>
  </si>
  <si>
    <t>German</t>
  </si>
  <si>
    <t>yyyyyyyyyy</t>
  </si>
  <si>
    <t xml:space="preserve">Ich versichere auch, dass dokumentierte Nachweise der Erfüllung dieser Anforderungen aufbewahrt werden </t>
  </si>
  <si>
    <t>Entscheidung:</t>
  </si>
  <si>
    <t xml:space="preserve">Production Part Approval 
Material Test Results </t>
  </si>
  <si>
    <t xml:space="preserve">Production Part Approval 
Performance Test Results </t>
  </si>
  <si>
    <t>Telefon</t>
  </si>
  <si>
    <t>Änderungsstand Stückliste</t>
  </si>
  <si>
    <t xml:space="preserve">KUNDENINFORMATION </t>
  </si>
  <si>
    <t>Übermittelt durch IMDS oder anderes Kundenformat:</t>
  </si>
  <si>
    <t>Sind Kunststoffteile mit den entsprechenden ISO - Kennzeichnungen versehen?</t>
  </si>
  <si>
    <t>Korrektur eines Fehlers</t>
  </si>
  <si>
    <t>Werkzeug für mehr als ein Jahr nicht aktiv</t>
  </si>
  <si>
    <t>Änderung zu optionalen Konstruktion oder optionalen Material</t>
  </si>
  <si>
    <t>Änderung des Unterlieferanten oder der Lieferquelle des Werkstoffes</t>
  </si>
  <si>
    <t>Änderung Bearbeitungsprozess</t>
  </si>
  <si>
    <t>Aussehensbeurteilungen</t>
  </si>
  <si>
    <t>statistische Prozessdaten</t>
  </si>
  <si>
    <t>Ist jedes Kundenwerkzeug richtig gekennzeichnet und nummeriert?</t>
  </si>
  <si>
    <t>Freigabe</t>
  </si>
  <si>
    <t>Rückweisung</t>
  </si>
  <si>
    <t>LIEFERANTEN - KENNNUMMER:</t>
  </si>
  <si>
    <t>ÄNDERUNGSSTAND DER ENTWICKLUNGSUNTERLAGEN:</t>
  </si>
  <si>
    <t>Produktionsteil-Freigabe 
Ergebnisse von Leistungstests</t>
  </si>
  <si>
    <t>Nr. spezifisches Prüfmittel</t>
  </si>
  <si>
    <t xml:space="preserve">LIEFERANTEN INFORMATION </t>
  </si>
  <si>
    <t>Name und Lieferanten - Kennnummer</t>
  </si>
  <si>
    <t>part information</t>
  </si>
  <si>
    <t>PART INFORMATION</t>
  </si>
  <si>
    <t>Checking Aid Number</t>
  </si>
  <si>
    <t>Customer Part Number</t>
  </si>
  <si>
    <t>Organization Part Number</t>
  </si>
  <si>
    <t>Organization Name and Supplier / Vendor Code</t>
  </si>
  <si>
    <t>if submitted by IMDS</t>
  </si>
  <si>
    <t>Supplier or Material Source Change</t>
  </si>
  <si>
    <t>Other - please specify below</t>
  </si>
  <si>
    <t>The results for</t>
  </si>
  <si>
    <t>Mold / Cavity / Production Process(es)</t>
  </si>
  <si>
    <t>/</t>
  </si>
  <si>
    <t>hours using</t>
  </si>
  <si>
    <t>production streams</t>
  </si>
  <si>
    <t>EXPLANATION / COMMENTS</t>
  </si>
  <si>
    <t>ERKLÄRUNG / BEMERKUNGEN</t>
  </si>
  <si>
    <t>tool ownership</t>
  </si>
  <si>
    <t>TEILEINFORMATION</t>
  </si>
  <si>
    <t>ppaparthistory</t>
  </si>
  <si>
    <t>Produktionsteil-Freigabe
Teilelebenslauf</t>
  </si>
  <si>
    <t>(If submitted by IMDS, enter Module ID number, version and date transmitted)</t>
  </si>
  <si>
    <t>(Wenn via IMDS übermittelt, bitte Modul ID Nummer, Version und Übermittlungsdatum eingeben)</t>
  </si>
  <si>
    <t>Stunden hergestellt wurden auf</t>
  </si>
  <si>
    <t>Kundenunterschrift</t>
  </si>
  <si>
    <t>Unterlagen vorliegen und für eine Bewertung verfügbar sind. Jegliche Abweichung von dieser Erklärung ist nachstehend aufgeführt.</t>
  </si>
  <si>
    <t>Unterschrift des Bevollmächtigten der Organisation</t>
  </si>
  <si>
    <t>Production Part Approval
Process Capability</t>
  </si>
  <si>
    <t>SUPPLIER MEASUREMENT RESULTS (DATA)</t>
  </si>
  <si>
    <t>YES</t>
  </si>
  <si>
    <t>NO</t>
  </si>
  <si>
    <t xml:space="preserve"> </t>
  </si>
  <si>
    <t>SPECIFICATION FULFILLED</t>
  </si>
  <si>
    <t>MESSERGEBNISSE DES LIEFERANTEN (DATEN)</t>
  </si>
  <si>
    <t>suppliermeasurementdata</t>
  </si>
  <si>
    <t>specificationfulfilled</t>
  </si>
  <si>
    <t>SPEZIFIKATION ERFÜLLT</t>
  </si>
  <si>
    <t>JA</t>
  </si>
  <si>
    <t>NEIN</t>
  </si>
  <si>
    <t>ok/yes</t>
  </si>
  <si>
    <t>nok/no</t>
  </si>
  <si>
    <t>BEMERKUNG</t>
  </si>
  <si>
    <t>COMMENT</t>
  </si>
  <si>
    <t>comment</t>
  </si>
  <si>
    <t>valuesm+h</t>
  </si>
  <si>
    <t>WERTE M+H</t>
  </si>
  <si>
    <t>VALUES M+H</t>
  </si>
  <si>
    <t>EVALUATION M+H</t>
  </si>
  <si>
    <t>BEWERTUNG M+H</t>
  </si>
  <si>
    <t>evaluationm+h</t>
  </si>
  <si>
    <t>SIGNATURE</t>
  </si>
  <si>
    <t>title1</t>
  </si>
  <si>
    <t>TITEL</t>
  </si>
  <si>
    <t>TITLE</t>
  </si>
  <si>
    <t>date1</t>
  </si>
  <si>
    <t>DATUM</t>
  </si>
  <si>
    <t>DATE</t>
  </si>
  <si>
    <t>MESSERGEBNISSE DES LIEFERANTEN (DATEN) / TESTBEDINGUNGEN</t>
  </si>
  <si>
    <t>Characteristicnominalvalueunit</t>
  </si>
  <si>
    <t>CHARACTERISTIC / NOMINAL VALUE / UNIT</t>
  </si>
  <si>
    <t>MERKMAL / NENNMASS / EINHEIT</t>
  </si>
  <si>
    <t>PRÜFMETHODE</t>
  </si>
  <si>
    <t>inspectionmethode</t>
  </si>
  <si>
    <t>INSPECTION METHODE</t>
  </si>
  <si>
    <t>processstable</t>
  </si>
  <si>
    <t>PROZESS STABIL</t>
  </si>
  <si>
    <t>PROCESS STABLE</t>
  </si>
  <si>
    <t>NAME OF MEASUREMENT INSTRUMENT / DEVICE</t>
  </si>
  <si>
    <t>rangeofmeasurement</t>
  </si>
  <si>
    <t>RANGE OF MEASUREMENT</t>
  </si>
  <si>
    <t>MESSBEREICH</t>
  </si>
  <si>
    <t>noofmeasurementinstrument</t>
  </si>
  <si>
    <t>PRÜFMITTELNUMMER</t>
  </si>
  <si>
    <t>BEZEICHNUNG PRÜFGERÄT / -VORRICHTUNG</t>
  </si>
  <si>
    <t>msadone</t>
  </si>
  <si>
    <t>MSA DURCHGEFÜHRT (ERGEBNIS)</t>
  </si>
  <si>
    <t>MSA DONE
(RESULT)</t>
  </si>
  <si>
    <t>BESCHREIBUNG DER ÄNDERUNG</t>
  </si>
  <si>
    <t>descriptionofthechange</t>
  </si>
  <si>
    <t>DESCRIPTION OF THE CHANGE</t>
  </si>
  <si>
    <t>reason</t>
  </si>
  <si>
    <t>GRUND</t>
  </si>
  <si>
    <t>REASON</t>
  </si>
  <si>
    <t>ABGESTIMMT MIT</t>
  </si>
  <si>
    <t>AGREED WITH</t>
  </si>
  <si>
    <t>agreedwith</t>
  </si>
  <si>
    <t>FREIGEGEBEN DURCH</t>
  </si>
  <si>
    <t>APPROVED BY</t>
  </si>
  <si>
    <t>approvedby</t>
  </si>
  <si>
    <t>introductionon</t>
  </si>
  <si>
    <t>INTRODUCTION ON (PRODUCTION LOT / DATE)</t>
  </si>
  <si>
    <t>EINGEFÜHRT MIT (LOS / DATUM)</t>
  </si>
  <si>
    <t>ZEICHNUNGS-INDEX</t>
  </si>
  <si>
    <t>DRAWING INDEX</t>
  </si>
  <si>
    <t>drawingindex</t>
  </si>
  <si>
    <t>explanationofreasonofchange</t>
  </si>
  <si>
    <t>nameandadressofyoursuppliers</t>
  </si>
  <si>
    <t>nameandnumberofthepurchasedparts</t>
  </si>
  <si>
    <t>BEZEICHUNUNG UND TEILENUMMER DES ZUKAUFTEILS</t>
  </si>
  <si>
    <t>NAME AND NUMBER OF THE PURCHASED PARTS</t>
  </si>
  <si>
    <t>status</t>
  </si>
  <si>
    <t>STATUS</t>
  </si>
  <si>
    <t>weherewithconfirmthatalsoourpurchasedpartscomponentsarehomologated</t>
  </si>
  <si>
    <t>?</t>
  </si>
  <si>
    <t>NAME DES LABORS:</t>
  </si>
  <si>
    <t>NAME OF LABORATORY:</t>
  </si>
  <si>
    <t>MATERIAL SPEC. NO. / REV / DATE</t>
  </si>
  <si>
    <t>NO. OF MEASUREMENT INSTRUMENT / DEVICE</t>
  </si>
  <si>
    <t>Production Part Approval 
PPAP Status Sub-Suppliers</t>
  </si>
  <si>
    <t>ppapstatussubsuppliers</t>
  </si>
  <si>
    <t>contentofppap</t>
  </si>
  <si>
    <t>designrecordsofsaleableproduct</t>
  </si>
  <si>
    <t>measurementsystemanalysisstudies</t>
  </si>
  <si>
    <t>forallothercomponentsdetails</t>
  </si>
  <si>
    <t>forproprietarycomponentsdetails</t>
  </si>
  <si>
    <t>authorizedengineeringchangedocuments</t>
  </si>
  <si>
    <t>customerengineeringapproval</t>
  </si>
  <si>
    <t>designfmea</t>
  </si>
  <si>
    <t>processflowdiagram</t>
  </si>
  <si>
    <t>processfmea</t>
  </si>
  <si>
    <t>controlplan</t>
  </si>
  <si>
    <t>dimensionalresults</t>
  </si>
  <si>
    <t>recordsofmaterialperformancetestresults</t>
  </si>
  <si>
    <t>initialprocessstudies</t>
  </si>
  <si>
    <t>qualifiedlaboratorydocumentation</t>
  </si>
  <si>
    <t>appearanceapprovalreportaar</t>
  </si>
  <si>
    <t>sampleproductionparts</t>
  </si>
  <si>
    <t>mastersample</t>
  </si>
  <si>
    <t>checkingaids</t>
  </si>
  <si>
    <t>customer-specificrequirements</t>
  </si>
  <si>
    <t>partsubmissionwarrant</t>
  </si>
  <si>
    <t>bulkmaterialchecklist</t>
  </si>
  <si>
    <t>partsdeliveryhistorym+hspecificrequirement</t>
  </si>
  <si>
    <t>sub-supplierspsw</t>
  </si>
  <si>
    <t>packaging</t>
  </si>
  <si>
    <t>resultfromsupplierinternalrun@rate</t>
  </si>
  <si>
    <t>Production Part Approval
Part Delivery History</t>
  </si>
  <si>
    <t>Produktionsteil-Freigabe
Ergebnisse von Maßprüfungen</t>
  </si>
  <si>
    <t xml:space="preserve">Production Part Approval
Dimensional Test Results </t>
  </si>
  <si>
    <t>Production Part Approval
Content of PPAP</t>
  </si>
  <si>
    <t>Produktionsteil-Freigabe
Ergebnisse von Materialprüfungen</t>
  </si>
  <si>
    <t>Produktionsteil-Freigabe
Inhalt des PPAP</t>
  </si>
  <si>
    <t>others</t>
  </si>
  <si>
    <t>commentssupplier</t>
  </si>
  <si>
    <t>documents</t>
  </si>
  <si>
    <t>typeidentificationdocument</t>
  </si>
  <si>
    <t>STAND / DATUM:</t>
  </si>
  <si>
    <t>ANLAGE</t>
  </si>
  <si>
    <t>ART / UMFANG / KENNZEICHNUNG DER ANLAGE</t>
  </si>
  <si>
    <t>-  GESCHÜTZTE BAUTEILE</t>
  </si>
  <si>
    <t>-  ALLE ANDEREN BAUTEILE</t>
  </si>
  <si>
    <t>TECHNISCHE ÄNDERUNGSDOKUMENTE, FALLS VORHANDEN</t>
  </si>
  <si>
    <t>TECHNISCHE FREIGABE DES KUNDEN</t>
  </si>
  <si>
    <t>KONSTRUKTIONS FMEA (DESIGN FMEA)</t>
  </si>
  <si>
    <t>PROZESSFLUSSDIAGRAMM</t>
  </si>
  <si>
    <t>PROZESS FMEA</t>
  </si>
  <si>
    <t>PRODUKTIONSLENKUNGSPLAN (CONTROL PLAN)</t>
  </si>
  <si>
    <t>MESSSYSTEMANALYSE MSA</t>
  </si>
  <si>
    <t>ERGEBNISSE VON MASSPRÜFUNGEN</t>
  </si>
  <si>
    <t>ERGEBNISSE VON MATERIAL-/LEISTUNGSTESTS</t>
  </si>
  <si>
    <t>VORLÄUFIGE PROZESSFÄHIGKEIT</t>
  </si>
  <si>
    <t>DOKUMENTATION ÜBER QUALIFIKATION VON LABOREN</t>
  </si>
  <si>
    <t>PRODUKTMUSTER</t>
  </si>
  <si>
    <t>REFERENZMUSTER</t>
  </si>
  <si>
    <t>SPEZIFISCHE PRÜFMITTEL</t>
  </si>
  <si>
    <t>UNTERLAGEN ÜBER DIE EINHALTUNG VON KUNDENSPEZIFISCHEN FORDERUNGEN</t>
  </si>
  <si>
    <t>TEILE-VORLAGE BESTÄTIGUNG (PSW)</t>
  </si>
  <si>
    <t>FÜR VERFAHRENSTECHNISCHE PRODUKTE</t>
  </si>
  <si>
    <t>TEILELEBENSLAUF</t>
  </si>
  <si>
    <t>VERPACKUNG</t>
  </si>
  <si>
    <t>SONSTIGES</t>
  </si>
  <si>
    <t>ENTWICKLUNGSUNTERLAGEN VERKAUFSFÄHIGES PRODUKT</t>
  </si>
  <si>
    <t>STATUS / DATE:</t>
  </si>
  <si>
    <t>DOCUMENTS</t>
  </si>
  <si>
    <t>TYPE / SCOPE / IDENTIFICATION OF THE DOCUMENT</t>
  </si>
  <si>
    <t>-  FOR PROPRIETARY COMPONENTS / DETAILS</t>
  </si>
  <si>
    <t>-  FOR ALL OTHER COMPONENTS / DETAILS</t>
  </si>
  <si>
    <t>AUTHORIZED ENGINEERING CHANGE DOCUMENTS</t>
  </si>
  <si>
    <t>CUSTOMER ENGINEERING APPROVAL</t>
  </si>
  <si>
    <t>DESIGN FMEA</t>
  </si>
  <si>
    <t>PROCESS FMEA</t>
  </si>
  <si>
    <t>CONTROL PLAN</t>
  </si>
  <si>
    <t>MEASUREMENT SYSTEM ANALYSIS STUDIES (MSA)</t>
  </si>
  <si>
    <t>DIMENSIONAL RESULTS</t>
  </si>
  <si>
    <t>RECORDS OF MATERIAL / PERFORMANCE TEST RESULTS</t>
  </si>
  <si>
    <t>INITIAL PROCESS STUDIES</t>
  </si>
  <si>
    <t>QUALIFIED LABORATORY DOCUMENTATION</t>
  </si>
  <si>
    <t>APPEARANCE APPROVAL REPORT (AAR)</t>
  </si>
  <si>
    <t>BERICHT ZUR FREIGABE DES AUSSEHENS</t>
  </si>
  <si>
    <t>SAMPLE PRODUCTION PARTS</t>
  </si>
  <si>
    <t>MASTER SAMPLE</t>
  </si>
  <si>
    <t>CHECKING AIDS</t>
  </si>
  <si>
    <t>CUSTOMER SPECIFIC REQUIREMENTS</t>
  </si>
  <si>
    <t>PART SUBMISSION WARRANT (PSW)</t>
  </si>
  <si>
    <t>BULK MATERIAL CHECKLIST</t>
  </si>
  <si>
    <t>PARTS DELIVERY HISTORY</t>
  </si>
  <si>
    <t>SUB-SUPPLIERS PSW</t>
  </si>
  <si>
    <t>PACKAGING</t>
  </si>
  <si>
    <t>OTHERS</t>
  </si>
  <si>
    <t>COMMENTS SUPPLIER:</t>
  </si>
  <si>
    <t>status/date</t>
  </si>
  <si>
    <t>ANMERKUNGEN LIEFERANT:</t>
  </si>
  <si>
    <t>TEILE-VORLAGE BESTÄTIGUNG (PSW) DER UNTERLIEFERANTEN</t>
  </si>
  <si>
    <t>copypackagingproposal</t>
  </si>
  <si>
    <t>mainrulesppapelaboration</t>
  </si>
  <si>
    <t>rulesforppap</t>
  </si>
  <si>
    <t>Wichtige Regeln für die PPAP Erstellung:</t>
  </si>
  <si>
    <t>nameofmeasurementinstrument</t>
  </si>
  <si>
    <t>ppameasurementequipment</t>
  </si>
  <si>
    <t>Produktionsteil-Freigabe
Prüfmittelliste</t>
  </si>
  <si>
    <t>Production Part Approval 
List of Measurement Equipment</t>
  </si>
  <si>
    <t>checklistpfmea</t>
  </si>
  <si>
    <t>Checkliste / allgemeine Fragen zur P-FMEA</t>
  </si>
  <si>
    <t>ja</t>
  </si>
  <si>
    <t>nein</t>
  </si>
  <si>
    <t>pfmeavorhanden</t>
  </si>
  <si>
    <t>Ist eine P-FMEA vorhanden für den aktuell gültigen Zeichnungsstand?</t>
  </si>
  <si>
    <t>Is a P-FMEA available for the latest drawing?</t>
  </si>
  <si>
    <t>pfmeavorgaben</t>
  </si>
  <si>
    <t>pfmeateam</t>
  </si>
  <si>
    <t>mhinput</t>
  </si>
  <si>
    <t>höhererpzwerte</t>
  </si>
  <si>
    <t>Wurden Massnahmen geplant und umgesetzt für höhere RPZ-Werte?</t>
  </si>
  <si>
    <t>pfmeaaktualisiert</t>
  </si>
  <si>
    <t>Wurde die FMEA aktualisiert nachdem vorgeschlagene Massnahmen umgesetzt wurden?</t>
  </si>
  <si>
    <t>Was the FMEA updated after recommended actions were implemented?</t>
  </si>
  <si>
    <t>bauteilerfahrung</t>
  </si>
  <si>
    <t>Has input / experience from similar parts been used?</t>
  </si>
  <si>
    <t>präventivemassnahmen</t>
  </si>
  <si>
    <t>Wurden präventive Massnahmen anstelle von Prüfmassnahmen verwendet, wo sinnvoll (z.B. POKA-YOKE)?</t>
  </si>
  <si>
    <t>fehlervermeidung</t>
  </si>
  <si>
    <t>Können die aufgeführten Massnahmen die Ursachen bzw. Fehler vermeiden?</t>
  </si>
  <si>
    <t>ursachenvermeidung</t>
  </si>
  <si>
    <t>Sind Massnahmen ausgerichtet auf Ursachenvermeidung oder Reduzierung der Auftretenswahrscheinlichkeit von Fehlern?</t>
  </si>
  <si>
    <t>besonderemerkmale</t>
  </si>
  <si>
    <t>Were special manufacturing/assembly controls identified and implemented for Special Characteristics?</t>
  </si>
  <si>
    <t>zusammenfassungpfmea</t>
  </si>
  <si>
    <t>Zusammenfassung P-FMEA</t>
  </si>
  <si>
    <t>Summary P-FMEA</t>
  </si>
  <si>
    <t>fmeanr</t>
  </si>
  <si>
    <t>FMEA-Nr.:</t>
  </si>
  <si>
    <t>FMEA-No.:</t>
  </si>
  <si>
    <t>fmeadatum</t>
  </si>
  <si>
    <t>FMEA-Datum:</t>
  </si>
  <si>
    <t>FMEA-Date:</t>
  </si>
  <si>
    <t>terminmassnahmen</t>
  </si>
  <si>
    <t>Termin für Massnahmen</t>
  </si>
  <si>
    <t>Due date of measures</t>
  </si>
  <si>
    <t>anzahlfehlerursachen</t>
  </si>
  <si>
    <t>Anzahl der Fehlerursachen</t>
  </si>
  <si>
    <t>erledigt</t>
  </si>
  <si>
    <t>completed</t>
  </si>
  <si>
    <t>später</t>
  </si>
  <si>
    <t>later</t>
  </si>
  <si>
    <t>ohnemassnahmen</t>
  </si>
  <si>
    <t>ohne Massnahmen</t>
  </si>
  <si>
    <t>without measures</t>
  </si>
  <si>
    <t>massnahmenfür</t>
  </si>
  <si>
    <t>Massnahmen für</t>
  </si>
  <si>
    <t>Measures for</t>
  </si>
  <si>
    <t>0&lt;rpz&lt;80</t>
  </si>
  <si>
    <t>0 &lt; RPZ &lt; 80</t>
  </si>
  <si>
    <t>0 &lt; RPN &lt; 80</t>
  </si>
  <si>
    <t>80&lt;rpz&lt;125</t>
  </si>
  <si>
    <t>80 &lt; RPZ &lt; 125</t>
  </si>
  <si>
    <t>80 &lt; RPN &lt; 125</t>
  </si>
  <si>
    <t>125&lt;rpz&lt;200</t>
  </si>
  <si>
    <t>125 &lt; RPZ &lt; 200</t>
  </si>
  <si>
    <t>125 &lt; RPN &lt; 200</t>
  </si>
  <si>
    <t>200&lt;rpz&lt;300</t>
  </si>
  <si>
    <t>200 &lt; RPZ &lt; 300</t>
  </si>
  <si>
    <t>200 &lt; RPN &lt; 300</t>
  </si>
  <si>
    <t>rpz&gt;300</t>
  </si>
  <si>
    <t>RPZ &gt; 300</t>
  </si>
  <si>
    <t>RPN &gt; 300</t>
  </si>
  <si>
    <t>summespaltenmassnahmen</t>
  </si>
  <si>
    <t>Total of columns with measures</t>
  </si>
  <si>
    <t>Production Part Approval
Process FMEA</t>
  </si>
  <si>
    <t>Rev.:</t>
  </si>
  <si>
    <t>Wurde die P-FMEA entsprechend den Vorgaben von FORD/GM/Chrysler oder VDA gemacht?</t>
  </si>
  <si>
    <t>Was the P-FMEA done according to the requirements from FORD/GM/Chrysler or VDA?</t>
  </si>
  <si>
    <t>Has a cross-functional FMEA team been formed to do the P-FMEA?</t>
  </si>
  <si>
    <t>Wurde die P-FMEA durch ein funktionsübergreifendes Team erarbeitet?</t>
  </si>
  <si>
    <t>Were actions planned and implemented for higher RPN values?</t>
  </si>
  <si>
    <t>Wurden spezielle Fertigungs-/Montageprüfungen für Besondere Merkmale identifiziert und eingeführt?</t>
  </si>
  <si>
    <t>Important rules to be considered during PPAP elaboration:</t>
  </si>
  <si>
    <t>Checklist / general questions to the P-FMEA</t>
  </si>
  <si>
    <t>Summe der Spalten mit Massnahmen</t>
  </si>
  <si>
    <t>Produktionsteil-Freigabe
Prozess FMEA</t>
  </si>
  <si>
    <t>ppapfmea</t>
  </si>
  <si>
    <t>Produktionsteil-Freigabe
Prozessfähigkeit</t>
  </si>
  <si>
    <t>ppaprocesscapability</t>
  </si>
  <si>
    <t>change level</t>
  </si>
  <si>
    <t>tool number</t>
  </si>
  <si>
    <t>tool location</t>
  </si>
  <si>
    <t>quantity tools</t>
  </si>
  <si>
    <t>quantity nests</t>
  </si>
  <si>
    <t>approval status</t>
  </si>
  <si>
    <t>tool size</t>
  </si>
  <si>
    <t>(Height*Length*Width)</t>
  </si>
  <si>
    <t>(Höhe*Länge*Breite)</t>
  </si>
  <si>
    <t>H*L*B</t>
  </si>
  <si>
    <t>weight2</t>
  </si>
  <si>
    <t>assessment production process</t>
  </si>
  <si>
    <t>part number</t>
  </si>
  <si>
    <t>part description</t>
  </si>
  <si>
    <t>Supplier/Production plant</t>
  </si>
  <si>
    <t>Colour</t>
  </si>
  <si>
    <t>presented</t>
  </si>
  <si>
    <t>current</t>
  </si>
  <si>
    <t>design level</t>
  </si>
  <si>
    <t>Design level</t>
  </si>
  <si>
    <t>hardware level</t>
  </si>
  <si>
    <t>software level</t>
  </si>
  <si>
    <t>Machines</t>
  </si>
  <si>
    <t>Plant</t>
  </si>
  <si>
    <t>Equipment</t>
  </si>
  <si>
    <t>OK (green)</t>
  </si>
  <si>
    <t>OK (yellow)</t>
  </si>
  <si>
    <t>NOK (red)</t>
  </si>
  <si>
    <t>Farbe</t>
  </si>
  <si>
    <t>Part no.</t>
  </si>
  <si>
    <t>Konstruktionsstand</t>
  </si>
  <si>
    <t>Vorrichtungen</t>
  </si>
  <si>
    <t>Anlagen</t>
  </si>
  <si>
    <t>Conditionally OK (yellow)</t>
  </si>
  <si>
    <t>Maschinen</t>
  </si>
  <si>
    <t>Softwarestand</t>
  </si>
  <si>
    <t>Software level</t>
  </si>
  <si>
    <t>Hardwarestand</t>
  </si>
  <si>
    <t>Hardware level</t>
  </si>
  <si>
    <t>Lieferant/Produktionsstandort</t>
  </si>
  <si>
    <t>Benennung</t>
  </si>
  <si>
    <t>Part description</t>
  </si>
  <si>
    <t>Current</t>
  </si>
  <si>
    <t>Presented</t>
  </si>
  <si>
    <t>Aktuell</t>
  </si>
  <si>
    <t>Vorgestellt</t>
  </si>
  <si>
    <t>For electronic components</t>
  </si>
  <si>
    <t>for electronic</t>
  </si>
  <si>
    <t>Werkzeuge</t>
  </si>
  <si>
    <t>Verkettung</t>
  </si>
  <si>
    <t>Logistik</t>
  </si>
  <si>
    <t>Personal</t>
  </si>
  <si>
    <t>Prozessfähigkeit</t>
  </si>
  <si>
    <t>(falls keine 100% Kontrolle geplant)</t>
  </si>
  <si>
    <t>Prüfmittel</t>
  </si>
  <si>
    <t>Process capability</t>
  </si>
  <si>
    <t>(if 100% inspection is not planned)</t>
  </si>
  <si>
    <t>Personnel</t>
  </si>
  <si>
    <t>Taktzeit</t>
  </si>
  <si>
    <t>Cycle time</t>
  </si>
  <si>
    <t>Stückzahl</t>
  </si>
  <si>
    <t>Quantity</t>
  </si>
  <si>
    <t>Bei Elektronikkomponenten</t>
  </si>
  <si>
    <t>Logistics</t>
  </si>
  <si>
    <t>Test/Inspection equipment</t>
  </si>
  <si>
    <t>quantity</t>
  </si>
  <si>
    <t>test</t>
  </si>
  <si>
    <t>if not</t>
  </si>
  <si>
    <t>process capability</t>
  </si>
  <si>
    <t>personnel</t>
  </si>
  <si>
    <t>logistics</t>
  </si>
  <si>
    <t>chaining</t>
  </si>
  <si>
    <t>tools</t>
  </si>
  <si>
    <t>Tools</t>
  </si>
  <si>
    <t>cycle time</t>
  </si>
  <si>
    <t>production location</t>
  </si>
  <si>
    <t>Quality deficiences to be expected</t>
  </si>
  <si>
    <t>Production cycle time</t>
  </si>
  <si>
    <t>All production lines</t>
  </si>
  <si>
    <t>One production line</t>
  </si>
  <si>
    <t>No production personnel</t>
  </si>
  <si>
    <t>Agreed capability fully achieved</t>
  </si>
  <si>
    <t>Capabilty not demonstrated</t>
  </si>
  <si>
    <t>All present, checked and accepted</t>
  </si>
  <si>
    <t>Not present</t>
  </si>
  <si>
    <t>acceptance checked by supplier, capability demonstrated</t>
  </si>
  <si>
    <t>or quality problems to be expected</t>
  </si>
  <si>
    <t>released</t>
  </si>
  <si>
    <t>improvement</t>
  </si>
  <si>
    <t xml:space="preserve">But no quality deficiencies expected </t>
  </si>
  <si>
    <t>No special actions</t>
  </si>
  <si>
    <t>Permanently achievable with special actions</t>
  </si>
  <si>
    <t>Not achievable with special actions</t>
  </si>
  <si>
    <t>checked / released</t>
  </si>
  <si>
    <t>Complete work &amp; inspection instructions available</t>
  </si>
  <si>
    <t>All production personnel trained</t>
  </si>
  <si>
    <t>Selected production personnel trained</t>
  </si>
  <si>
    <t>Work &amp; inspection instructions incomplete</t>
  </si>
  <si>
    <t>100% inspection introduced</t>
  </si>
  <si>
    <t>No 100% inspection</t>
  </si>
  <si>
    <t>Capability demonstrated</t>
  </si>
  <si>
    <t>or not checked and accepted</t>
  </si>
  <si>
    <t>Overall result:</t>
  </si>
  <si>
    <t xml:space="preserve">Date </t>
  </si>
  <si>
    <t>Signature supplier</t>
  </si>
  <si>
    <t>Unterschrift Lieferant</t>
  </si>
  <si>
    <t>signature supplier</t>
  </si>
  <si>
    <t>overall result</t>
  </si>
  <si>
    <t>Serienwerkzeug</t>
  </si>
  <si>
    <t>Kein Serienwerkzeug</t>
  </si>
  <si>
    <t>Qualitätsbeeinträchtigungen zu erwarten</t>
  </si>
  <si>
    <t>Keine 100% Kontrolle</t>
  </si>
  <si>
    <t>100% Kontrolle eingeführt</t>
  </si>
  <si>
    <t>Fähigkeit nachgewiesen</t>
  </si>
  <si>
    <t>Ersatzprüfmittel vorhanden</t>
  </si>
  <si>
    <t>bzw. nicht abgenommen</t>
  </si>
  <si>
    <t>optimiert</t>
  </si>
  <si>
    <t>aber keine Qualitätsbeeinträchtigungen in der Serie zu erwarten</t>
  </si>
  <si>
    <t>ohne Sondermaßnahmen</t>
  </si>
  <si>
    <t>dauerhaft erreichbar mit Sondermaßnahmen</t>
  </si>
  <si>
    <t>mit Sondermaßnahmen nicht erreichbar</t>
  </si>
  <si>
    <t>abgenommen</t>
  </si>
  <si>
    <t>Arbeits- und Prüfanweisungen vollständig</t>
  </si>
  <si>
    <t>Arbeits- und Prüfanweisungen unvollständig</t>
  </si>
  <si>
    <t>und keine Qualitätsbeeinträchtigungen in der Serie zu erwarten</t>
  </si>
  <si>
    <t>vom Lieferanten abgenommen; Fähigkeit nachgewiesen</t>
  </si>
  <si>
    <t>Vereinbarte Fähigkeitskennwerte voll erfüllt</t>
  </si>
  <si>
    <t>Fähigkeitskennwerte nicht nachgewiesen</t>
  </si>
  <si>
    <t>Vollständig vorhanden / abgenommen</t>
  </si>
  <si>
    <t>Nur teilweise vorhanden / abgenommen</t>
  </si>
  <si>
    <t>Nicht vorhanden</t>
  </si>
  <si>
    <t xml:space="preserve">Kein Serienpersonal </t>
  </si>
  <si>
    <t>Ausgewähltes Serienpersonal geschult</t>
  </si>
  <si>
    <t>Gesamtes Serienpersonal geschult</t>
  </si>
  <si>
    <t>Keine Serienfertigungslinie</t>
  </si>
  <si>
    <t>Eine Fertigungslinie</t>
  </si>
  <si>
    <t>Alle Fertigungslinien</t>
  </si>
  <si>
    <t>Serientaktzeit</t>
  </si>
  <si>
    <t>oder Qualitätsbeeinträchtigungen zu erwarten</t>
  </si>
  <si>
    <t>production tool</t>
  </si>
  <si>
    <t>no production tool</t>
  </si>
  <si>
    <t>serie</t>
  </si>
  <si>
    <t>no serie</t>
  </si>
  <si>
    <t>deficiences</t>
  </si>
  <si>
    <t>all production lines</t>
  </si>
  <si>
    <t>diagnosis level</t>
  </si>
  <si>
    <t>Diagnosis level</t>
  </si>
  <si>
    <t>acceptance checked</t>
  </si>
  <si>
    <t>no quality</t>
  </si>
  <si>
    <t>or quality</t>
  </si>
  <si>
    <t>production cycle time</t>
  </si>
  <si>
    <t>no special actions</t>
  </si>
  <si>
    <t>permanently</t>
  </si>
  <si>
    <t>not achievable</t>
  </si>
  <si>
    <t>All production tools / cavities</t>
  </si>
  <si>
    <t>all production tools</t>
  </si>
  <si>
    <t>Alle Serienwerkzeuge / Kavitäten</t>
  </si>
  <si>
    <t>checked</t>
  </si>
  <si>
    <t>At least one set of series production tool approved</t>
  </si>
  <si>
    <t>at least</t>
  </si>
  <si>
    <t>no production line</t>
  </si>
  <si>
    <t>one production line</t>
  </si>
  <si>
    <t>all production personnel</t>
  </si>
  <si>
    <t>selected production personnel</t>
  </si>
  <si>
    <t>no production personnel</t>
  </si>
  <si>
    <t>complete work</t>
  </si>
  <si>
    <t>incomplete work</t>
  </si>
  <si>
    <t>agreed c. fully</t>
  </si>
  <si>
    <t>agreed c. not</t>
  </si>
  <si>
    <t>c. not demonstrated</t>
  </si>
  <si>
    <t>100% inspection</t>
  </si>
  <si>
    <t>no 100% inspection</t>
  </si>
  <si>
    <t>not present</t>
  </si>
  <si>
    <t>only partielly present</t>
  </si>
  <si>
    <t>all present</t>
  </si>
  <si>
    <t>substitute equipement</t>
  </si>
  <si>
    <t>c. demonstrated</t>
  </si>
  <si>
    <t>or not checked</t>
  </si>
  <si>
    <t>but no quality deficiences</t>
  </si>
  <si>
    <t>no production tools</t>
  </si>
  <si>
    <t>Beurteilung: Serienreifer Prozess</t>
  </si>
  <si>
    <t>Teilenummer</t>
  </si>
  <si>
    <t>in Ordnung (grün)</t>
  </si>
  <si>
    <t>nicht in Ordnung (rot)</t>
  </si>
  <si>
    <t>bedingt in Ordnung (gelb)</t>
  </si>
  <si>
    <t>Serie nicht am Produktionsstandort</t>
  </si>
  <si>
    <t>series not location</t>
  </si>
  <si>
    <t>Keine Serienwerkzeuge</t>
  </si>
  <si>
    <t>Diagnosestand</t>
  </si>
  <si>
    <t>Beurteilung: Serienreifes Teil</t>
  </si>
  <si>
    <t>serienreifes Teil</t>
  </si>
  <si>
    <t>Maßlich i.O.</t>
  </si>
  <si>
    <t>Maßlich n.i.O.</t>
  </si>
  <si>
    <t>i.O.</t>
  </si>
  <si>
    <t>Oberfläche</t>
  </si>
  <si>
    <t>Struktur</t>
  </si>
  <si>
    <t>Funktion</t>
  </si>
  <si>
    <t>Zulieferteile</t>
  </si>
  <si>
    <t>Gerade noch akzeptabel</t>
  </si>
  <si>
    <t>Große Abweichung / Fehler</t>
  </si>
  <si>
    <t>Farbe / Narbung</t>
  </si>
  <si>
    <t>Kein Serienwerkstoff</t>
  </si>
  <si>
    <t>Serienwerkstoff</t>
  </si>
  <si>
    <t>Kein Serienwerkstoff oder andere Verarbeitung oder Kundenspezifikation nicht erfüllt</t>
  </si>
  <si>
    <t>Verbaubar</t>
  </si>
  <si>
    <t>Nicht verbaubar</t>
  </si>
  <si>
    <t>Funktion erfüllt</t>
  </si>
  <si>
    <t>Geringe Abweichung zur Spezifikation</t>
  </si>
  <si>
    <t>Dimensionally OK</t>
  </si>
  <si>
    <t>dimensionally OK</t>
  </si>
  <si>
    <t>Dimensionally NOK</t>
  </si>
  <si>
    <t>Just acceptable</t>
  </si>
  <si>
    <t>Significant non-conformance / defect</t>
  </si>
  <si>
    <t>Function satisfied</t>
  </si>
  <si>
    <t>Minor deviation from specification</t>
  </si>
  <si>
    <t>Function NOK or not demonstrated</t>
  </si>
  <si>
    <t>Dimensions</t>
  </si>
  <si>
    <t>Surface</t>
  </si>
  <si>
    <t>Structure</t>
  </si>
  <si>
    <t>Colour / grain</t>
  </si>
  <si>
    <t>Material</t>
  </si>
  <si>
    <t>Purchased parts</t>
  </si>
  <si>
    <t>Installability</t>
  </si>
  <si>
    <t>Verbaubarkeit</t>
  </si>
  <si>
    <t>dimensionally NOK</t>
  </si>
  <si>
    <t>surface</t>
  </si>
  <si>
    <t>material</t>
  </si>
  <si>
    <t>function</t>
  </si>
  <si>
    <t>parts</t>
  </si>
  <si>
    <t>installability</t>
  </si>
  <si>
    <t>just acceptable</t>
  </si>
  <si>
    <t>significant</t>
  </si>
  <si>
    <t>no production material</t>
  </si>
  <si>
    <t>production material</t>
  </si>
  <si>
    <t>no production material or</t>
  </si>
  <si>
    <t>installed</t>
  </si>
  <si>
    <t>not installed</t>
  </si>
  <si>
    <t>function satisfied</t>
  </si>
  <si>
    <t>minor deviation</t>
  </si>
  <si>
    <t>or not demonstrated</t>
  </si>
  <si>
    <t>accepted</t>
  </si>
  <si>
    <t>structure</t>
  </si>
  <si>
    <t>colour grain</t>
  </si>
  <si>
    <t>finish</t>
  </si>
  <si>
    <t>no rework</t>
  </si>
  <si>
    <t>with rework by supplier or non-critical dimensions NOK (deviation permit is available)</t>
  </si>
  <si>
    <t>with rework</t>
  </si>
  <si>
    <t>keine Nacharbeit</t>
  </si>
  <si>
    <t>mit Nacharbeit durch Lieferant oder unkritische Werte n.i.O. (Abweicherlaubnis)</t>
  </si>
  <si>
    <t>OK2</t>
  </si>
  <si>
    <t>Abweicherlaubnis liegt vor; kein oder unvollständiges Materialdatenblatt / IMDS</t>
  </si>
  <si>
    <t>Deviation permit</t>
  </si>
  <si>
    <t>Kundenspezifikation nicht erfüllt / nachgewiesen</t>
  </si>
  <si>
    <t>customer's specification</t>
  </si>
  <si>
    <t>Kundenspezifikation erfüllt</t>
  </si>
  <si>
    <t>met</t>
  </si>
  <si>
    <t>Abgelehnt bzw. noch nicht bemustert</t>
  </si>
  <si>
    <t>abgelehnt</t>
  </si>
  <si>
    <t>Freigegeben</t>
  </si>
  <si>
    <t>Released</t>
  </si>
  <si>
    <t>frei</t>
  </si>
  <si>
    <t>Bedingt freigegeben</t>
  </si>
  <si>
    <t>Conditionally released</t>
  </si>
  <si>
    <t>bedingt frei</t>
  </si>
  <si>
    <t>Spezifikation nicht erfüllt</t>
  </si>
  <si>
    <t>Specification not met</t>
  </si>
  <si>
    <t>s.n.m.</t>
  </si>
  <si>
    <t>entspricht Spezifikation</t>
  </si>
  <si>
    <t>complies with specification</t>
  </si>
  <si>
    <t>complies with s</t>
  </si>
  <si>
    <t>ohne Mehraufwand</t>
  </si>
  <si>
    <t>without extrawork</t>
  </si>
  <si>
    <t>mit Mehraufwand</t>
  </si>
  <si>
    <t>with extrawork</t>
  </si>
  <si>
    <t>Keine Einfallsstellen; keine Welligkeit</t>
  </si>
  <si>
    <t>keine Einfallsstellen</t>
  </si>
  <si>
    <t>nicht zu beurteilen</t>
  </si>
  <si>
    <t>entspricht Grenzmuster</t>
  </si>
  <si>
    <t>entspricht grenzmuster</t>
  </si>
  <si>
    <t>Assessment: Product</t>
  </si>
  <si>
    <t xml:space="preserve">optimiert </t>
  </si>
  <si>
    <t>improved / corrected</t>
  </si>
  <si>
    <t>no sink marks; no corrugation</t>
  </si>
  <si>
    <t>complies with boundary sample</t>
  </si>
  <si>
    <t>not suitable for assessment</t>
  </si>
  <si>
    <t>Deviation permit is available; material data sheet (IMDS) is not available or incomplete</t>
  </si>
  <si>
    <t>with extra work</t>
  </si>
  <si>
    <t>without extra work</t>
  </si>
  <si>
    <t>Mindestens ein Satz Serienwerkzeuge abgenommen</t>
  </si>
  <si>
    <t>teilenummer</t>
  </si>
  <si>
    <t>Material- u. Funktionsprüfungen</t>
  </si>
  <si>
    <t>material and functional tests</t>
  </si>
  <si>
    <t>Fax</t>
  </si>
  <si>
    <t>(i.O., bedingt i.O. / n.i.O.)</t>
  </si>
  <si>
    <t>(OK / conditionally OK / NOK)</t>
  </si>
  <si>
    <t>(i.O. / bedingt i.O. / n.i.O.)</t>
  </si>
  <si>
    <t>ppapselfproduct</t>
  </si>
  <si>
    <t>Produktionsteil-Freigabe
Selbstbewertung Produkt</t>
  </si>
  <si>
    <t>Production Part Approval
Self Assessment Product</t>
  </si>
  <si>
    <t>ppapselfprocess</t>
  </si>
  <si>
    <t>Produktionsteil-Freigabe
Selbstbewertung Prozess</t>
  </si>
  <si>
    <t>Production Part Approval
Self Assessment Process</t>
  </si>
  <si>
    <t>ppaptoollist</t>
  </si>
  <si>
    <t>Produktionsteil-Freigabe
Werkzeugliste</t>
  </si>
  <si>
    <t>CHANGE LEVEL</t>
  </si>
  <si>
    <t>PART NUMBER</t>
  </si>
  <si>
    <t>TOOL NUMBER</t>
  </si>
  <si>
    <t>TOOL LOCATION</t>
  </si>
  <si>
    <t>TOOL SIZE</t>
  </si>
  <si>
    <t>WEIGHT</t>
  </si>
  <si>
    <t>TEILENUMMER</t>
  </si>
  <si>
    <t>GEWICHT</t>
  </si>
  <si>
    <t>ANZAHL WERK-ZEUGE</t>
  </si>
  <si>
    <t>ANZAHL NESTER / WERK-ZEUG</t>
  </si>
  <si>
    <t>FREI-GABE STATUS</t>
  </si>
  <si>
    <t>WERKZEUG-
GRÖSSE</t>
  </si>
  <si>
    <t>WERKZEUG-
STANDORT</t>
  </si>
  <si>
    <t>QUANT. OF
NESTS / TOOL</t>
  </si>
  <si>
    <t>WERKZEUGNUMMER</t>
  </si>
  <si>
    <t>DESIGN RECORD OF SALEABLE PRODUCT</t>
  </si>
  <si>
    <t>QUANT. OF TOOLS</t>
  </si>
  <si>
    <t>ÄNDERUNGS-STAND</t>
  </si>
  <si>
    <t>APPRO-VAL STATUS</t>
  </si>
  <si>
    <t xml:space="preserve">
- Initial Sample parts must be produced with the final serial process under serial process conditions. All
  deviations herefrom need to be communicated to MANN+HUMMEL.
- Alternative PPAP templates can be used if equivalent to these sheets.
- Deviations from requirements (e.g. dimensional, material) have to be described in a Deviation Permit
  and submited to the contact person from MANN+HUMMEL prior to sending the PPAP to
  MANN+HUMMEL. Actions have to be defined accordingly.
- All sheets have to filled and the same sequence for the documentation as described in sheet
  "Content" shall be kept.
- The documents to be submited to MANN+HUMMEL are defined in the corresponding PRFPP (see
  Submittion Level)
- Detailed information regarding PPAP procedure can be found in the PPAP manual.
- Additional documents to be submitted with this PPAP package: see relevant PRFPP for your product.</t>
  </si>
  <si>
    <t>Comments</t>
  </si>
  <si>
    <t>comments</t>
  </si>
  <si>
    <t>Anmerkungen</t>
  </si>
  <si>
    <t>maturitylevel</t>
  </si>
  <si>
    <t>MATURITY LEVEL</t>
  </si>
  <si>
    <t>REIFEGRAD</t>
  </si>
  <si>
    <t>reasonofchange</t>
  </si>
  <si>
    <t xml:space="preserve">EXPLANATION OF REASON OF CHANGE: </t>
  </si>
  <si>
    <t xml:space="preserve">ERLÄUTERUNG ÄNDERUNGSGRUND: </t>
  </si>
  <si>
    <t>explanationmaturitylevel</t>
  </si>
  <si>
    <t>maturitylevels</t>
  </si>
  <si>
    <t>ERLÄUTERUNG REIFEGRAD:</t>
  </si>
  <si>
    <t>K = DESIGN CHANGE ; P = CHANGE PRODUCTION PROCESS INCL. INSPECTION;
L = CHANGE OF SUB-SUPPLIER ; S = CHANGE OF PRODUCTION LOCATION;
V = CHANGE PACKAGING / TRANSPORTATION</t>
  </si>
  <si>
    <t>resultfromsupplierinternalrunrate</t>
  </si>
  <si>
    <t>kg</t>
  </si>
  <si>
    <t>Gewicht</t>
  </si>
  <si>
    <t>Weight</t>
  </si>
  <si>
    <t>RESULT FROM SUPPLIER RUN@RATE</t>
  </si>
  <si>
    <t>Production Part Approval
Result from Supplier Run@Rate</t>
  </si>
  <si>
    <t>Produktionsteil-Freigabe
Ergebnis von Lieferanten Run@Rate</t>
  </si>
  <si>
    <t>Cm / Pp</t>
  </si>
  <si>
    <t>Cmk / Ppk</t>
  </si>
  <si>
    <t>Number of failure causes</t>
  </si>
  <si>
    <t>EXPLANATION OF MATURITY LEVEL:</t>
  </si>
  <si>
    <r>
      <t>C1 = SERIAL TOOLING / EQUIPMENT USED, BUT STILL AT PRODUCER OF THE TOOLING OR
        EQUIPMENT;
C2 = SERIAL TOOLING / EQUIPMENT AT SERIAL PRODUCTION SUPPLIER, BUT PROCESS
        STEPS NOT YET LINKED</t>
    </r>
    <r>
      <rPr>
        <sz val="10"/>
        <color rgb="FFFF0000"/>
        <rFont val="Arial"/>
        <family val="2"/>
      </rPr>
      <t>;</t>
    </r>
    <r>
      <rPr>
        <sz val="10"/>
        <rFont val="Arial"/>
        <family val="2"/>
      </rPr>
      <t xml:space="preserve">
C3 = SERIAL TOOLING / EQUIPMENT AT SERIAL PRODUCTION SUPPLIER, PROCESS STEPS
        AS FOR SERIAL PRODUCTION AND ALL PROCESS STEPS LINKED
1, 2, 3,... IDENTIFICATION OF THE DIFFERENT CORRECTION LOOPS FOR THE SAME
        MATURITY LEVEL (EG. C3.1, C3.2, C3.3)</t>
    </r>
  </si>
  <si>
    <t>K = DESIGNÄNDERUNG ; P = ÄNDERUNG PRODUKTIONSPROZESS INKL. PRÜFMETHODE;
L = ÄNDERUNG UNTERLIEFERANT ; S = ÄNDERUNG PRODUKTIONSSTANDORT;
V = ÄNDERUNG VERPACKUNG / TRANSPORT</t>
  </si>
  <si>
    <t>C1 = SERIEN-WERKZEUGE / ANLAGEN VERWENDET, ABER NOCH BEIM HERSTELLER DER
        WERKZEUGE BZW. ANLAGEN;
C2 = SERIEN-WERKZEUGE / ANLAGEN BEIM SERIENLIEFERANT, ABER PROZESS NOCH
        NICHT VERKETTET;
C3 = SERIEN-WERKZEUGE / ANLAGEN BEIM SERIENLIEFERANT, PROZESS WIE FÜR SERIE
        UND VERKETTET
1, 2, 3,... KENNZEICHNUNG DER VERSCHIEDENEN KORREKTURSCHLEIFEN FÜR DEN
        GLEICHEN REIFEGRAD (Z.B. C3.1, C3.2, C3.3)</t>
  </si>
  <si>
    <t>Bitte fügen Sie eine detaillierte Beschreibung der mit MANN+HUMMEL vereinbarten Verpackung inkl. Bilder bei (Packeinheit, innerer Schutz, Palette, Mengen je Packeinheit/Palette, Kennzeichnungs-Label).</t>
  </si>
  <si>
    <t>Please include a detailled description of the packaging agreed with MANN+HUMMEL incl. pictures (packing unit, inner protection, palette, quantities per packing unit/palette, identification label).</t>
  </si>
  <si>
    <t>ppappackaging</t>
  </si>
  <si>
    <t>Produktionsteil-Freigabe
Verpackung</t>
  </si>
  <si>
    <t>Production Part Approval
Packaging</t>
  </si>
  <si>
    <t>%</t>
  </si>
  <si>
    <t xml:space="preserve">% </t>
  </si>
  <si>
    <t>x</t>
  </si>
  <si>
    <t>=</t>
  </si>
  <si>
    <t>(gross)</t>
  </si>
  <si>
    <t>(net)</t>
  </si>
  <si>
    <t>pieces</t>
  </si>
  <si>
    <t>Amount of n.O.K. parts</t>
  </si>
  <si>
    <t>nOK - visual check not according to drawing / border samples</t>
  </si>
  <si>
    <t>nOK - dimensional / material not according to drawing</t>
  </si>
  <si>
    <t>Actual scrap</t>
  </si>
  <si>
    <t>Amount of rework parts</t>
  </si>
  <si>
    <t>Production capacity found during R@R</t>
  </si>
  <si>
    <t>Shift model for serial production:</t>
  </si>
  <si>
    <t>shifts / week</t>
  </si>
  <si>
    <t>hours / shift</t>
  </si>
  <si>
    <t>min. / week</t>
  </si>
  <si>
    <t>Data for actual performance calculation:</t>
  </si>
  <si>
    <t>Produced good parts:</t>
  </si>
  <si>
    <t>Produced scrap:</t>
  </si>
  <si>
    <t>min.</t>
  </si>
  <si>
    <t>Set-up time, actual:</t>
  </si>
  <si>
    <t>Lot size:</t>
  </si>
  <si>
    <t>sec./pc.</t>
  </si>
  <si>
    <t>(amount of cavities considered)</t>
  </si>
  <si>
    <t>Set-up rate, actual:</t>
  </si>
  <si>
    <t>Total time per piece:</t>
  </si>
  <si>
    <t>Scrap rate, actual:</t>
  </si>
  <si>
    <t>Equipment availability, actual:</t>
  </si>
  <si>
    <t>Reserved Capacity for MANN+HUMMEL:</t>
  </si>
  <si>
    <t># of same machines used in parallel:</t>
  </si>
  <si>
    <t># of working days per week</t>
  </si>
  <si>
    <t># of working days per year</t>
  </si>
  <si>
    <t>days</t>
  </si>
  <si>
    <t>Quantities:</t>
  </si>
  <si>
    <t>max. pc. / shift estipolated</t>
  </si>
  <si>
    <t>pc. / week at reserved capacity</t>
  </si>
  <si>
    <t>pc. / year at reserved capacity</t>
  </si>
  <si>
    <t>Comments Supplier:</t>
  </si>
  <si>
    <t>Estimated scrap
(estimated by supplier)</t>
  </si>
  <si>
    <t>Amount of parts manufactured during the Run@Rate</t>
  </si>
  <si>
    <t>Quantitative Auswertung (für Engpassprozess)</t>
  </si>
  <si>
    <t>qualitative evaluation</t>
  </si>
  <si>
    <t>Qualitative Auswertung</t>
  </si>
  <si>
    <t>Qualitative Evaluation</t>
  </si>
  <si>
    <t>Anzahl gefertigte Teile während des Run@Rate</t>
  </si>
  <si>
    <t>pc</t>
  </si>
  <si>
    <t>Stück</t>
  </si>
  <si>
    <t>Bemerkungen:</t>
  </si>
  <si>
    <t>Comments:</t>
  </si>
  <si>
    <t>amount of n.o.k. parts</t>
  </si>
  <si>
    <t>Menge n.i.O. - Teile</t>
  </si>
  <si>
    <t>n.O.K. - visual check not according to drawing / border samples</t>
  </si>
  <si>
    <t>n.i.O. - bei visueller Prüfung</t>
  </si>
  <si>
    <t>n.o.k. - dimensional / material not according to drawing</t>
  </si>
  <si>
    <t>n.i.O. - maßlich / Werkstoff nicht nach Zeichnung</t>
  </si>
  <si>
    <t>n.o.k. - function not according to drawing / process verifification plan</t>
  </si>
  <si>
    <t>n.i.O. - Bauteilfunktion nicht nach Zeichnungsvorgabe/ Prüfplan Lieferant</t>
  </si>
  <si>
    <t>nOK - function not according to drawing / process verification plan</t>
  </si>
  <si>
    <t>actual scrap</t>
  </si>
  <si>
    <t>Tatsächlicher Ausschuß</t>
  </si>
  <si>
    <t>amount of rework parts</t>
  </si>
  <si>
    <t>Anzahl Nacharbeitsteile</t>
  </si>
  <si>
    <t>first time quality (ftq)
(amount of i.o. parts without rework)</t>
  </si>
  <si>
    <t>Anzahl i.O. Teile (ohne Nacharbeit)
(First Time Quality - FTQ)</t>
  </si>
  <si>
    <t>estimated scrap
(estimated by supplier)</t>
  </si>
  <si>
    <t>Geschätzter Ausschuß
(von Lieferant geschätzt)</t>
  </si>
  <si>
    <t>cp data from prfpp</t>
  </si>
  <si>
    <t>Daten von ursprünglicher Kapazitätsplanung (aus PRFPP)</t>
  </si>
  <si>
    <t>Data from original Capacity Planning (from PRFPP)</t>
  </si>
  <si>
    <t>witnessed during R@R</t>
  </si>
  <si>
    <t>Während R@R festgestellte Fertigungskapazität</t>
  </si>
  <si>
    <t>process:</t>
  </si>
  <si>
    <t>Engpass-Prozess:</t>
  </si>
  <si>
    <t>current shift model:</t>
  </si>
  <si>
    <t>Aktuelles Schichtmodel (wie in Serie geplant):</t>
  </si>
  <si>
    <t>Current shift model (as planned in serial production):</t>
  </si>
  <si>
    <t>shift model serial</t>
  </si>
  <si>
    <t>Schichtmodel für Serienproduktion:</t>
  </si>
  <si>
    <t>Contractual planned Downtime:</t>
  </si>
  <si>
    <t>Vertraglich vereinbarte Unterbrechungen (Mittag, Pausen, etc.):</t>
  </si>
  <si>
    <t>Peak production</t>
  </si>
  <si>
    <t>Kammlinie:</t>
  </si>
  <si>
    <t>Peak production:</t>
  </si>
  <si>
    <t>pc./week</t>
  </si>
  <si>
    <t>Stück/Woche</t>
  </si>
  <si>
    <t>expected to start in week:</t>
  </si>
  <si>
    <t>erwartet ab KW:</t>
  </si>
  <si>
    <t>Schichten/Woche</t>
  </si>
  <si>
    <t>Stunden/Schicht</t>
  </si>
  <si>
    <t>Minuten/Woche</t>
  </si>
  <si>
    <t>min</t>
  </si>
  <si>
    <t>Min.</t>
  </si>
  <si>
    <t>produced good parts:</t>
  </si>
  <si>
    <t>produced scrap:</t>
  </si>
  <si>
    <t>Produzierter Ausschuß:</t>
  </si>
  <si>
    <t>production time without down times:</t>
  </si>
  <si>
    <t>Fertigungszeit ohne Stillstandzeiten:</t>
  </si>
  <si>
    <t>down times:</t>
  </si>
  <si>
    <t>Stillstandzeiten:</t>
  </si>
  <si>
    <t>set up time:</t>
  </si>
  <si>
    <t>Rüstzeit:</t>
  </si>
  <si>
    <t>Set-up time:</t>
  </si>
  <si>
    <t>lot size:</t>
  </si>
  <si>
    <t>Losgröße:</t>
  </si>
  <si>
    <t>set up time, actual:</t>
  </si>
  <si>
    <t>Rüstzeit IST:</t>
  </si>
  <si>
    <t>production time:</t>
  </si>
  <si>
    <t>Fertigungszeit, kalkuliert:</t>
  </si>
  <si>
    <t>Production time, calculated:</t>
  </si>
  <si>
    <t>planned shift model</t>
  </si>
  <si>
    <t>geplantes Schichtmodel:</t>
  </si>
  <si>
    <t>Planned shift model:</t>
  </si>
  <si>
    <t>data for actual performance calculation:</t>
  </si>
  <si>
    <t>Daten für Berechnung der Fertigungszeit:</t>
  </si>
  <si>
    <t>set up rate:</t>
  </si>
  <si>
    <t>Anteil Rüsten, kalkuliert:</t>
  </si>
  <si>
    <t>total time per piece:</t>
  </si>
  <si>
    <t>Gesamtzeit pro Teil:</t>
  </si>
  <si>
    <t>scrap:</t>
  </si>
  <si>
    <t>Ausschußrate, kalkuliert:</t>
  </si>
  <si>
    <t>equipment availability:</t>
  </si>
  <si>
    <t>Anlagenverfügbarkeit, kalkuliert:</t>
  </si>
  <si>
    <t>Equipment availability:</t>
  </si>
  <si>
    <t>reserved capacity for mann+hummel:</t>
  </si>
  <si>
    <t>Kapazitätsreservierung für MANN+HUMMEL:</t>
  </si>
  <si>
    <t>Anzahl gleicher Maschinen, die parallel zum Einsatz kommen:</t>
  </si>
  <si>
    <t>explanation # of same machines</t>
  </si>
  <si>
    <t>(&gt; 1 nur wenn mehrere Maschinen auch gleichzeitig in Betrieb sind)</t>
  </si>
  <si>
    <t>(&gt; 1 only if more than 1 machine will be operating at the same time)</t>
  </si>
  <si>
    <t>(e.g. 100% if machine only used for m+h. 100% is max.)</t>
  </si>
  <si>
    <t>(z.B. 100% wenn Maschine nur für M+H eingesetzt. 100% ist max.)</t>
  </si>
  <si>
    <t>(e.g. 100% if machine only used for M+H. 100% is max.)</t>
  </si>
  <si>
    <t>amount of cavities considered</t>
  </si>
  <si>
    <t>(Anzahl Kavitäten berücksichtigt)</t>
  </si>
  <si>
    <t>Sek./Stück</t>
  </si>
  <si>
    <t>sec./ pc.</t>
  </si>
  <si>
    <t>set up rate, actual:</t>
  </si>
  <si>
    <t>Anteil Rüsten IST:</t>
  </si>
  <si>
    <t>production time, actual:</t>
  </si>
  <si>
    <t>Fertigungszeit IST:</t>
  </si>
  <si>
    <t>Production time, actual:</t>
  </si>
  <si>
    <t>equipment availability, actual:</t>
  </si>
  <si>
    <t>Anlagenverfügbarkeit IST:</t>
  </si>
  <si>
    <t>scrap, actual:</t>
  </si>
  <si>
    <t>Ausschussrate IST:</t>
  </si>
  <si>
    <t>estimated quantities</t>
  </si>
  <si>
    <t>Kalkulierte Stückzahl</t>
  </si>
  <si>
    <t>Estimated quantities</t>
  </si>
  <si>
    <t>Calculated quantities (based on Run@Rate result)</t>
  </si>
  <si>
    <t>Errechnete Stückzahl (aus Run@Rate abgeleitet)</t>
  </si>
  <si>
    <t>Tage</t>
  </si>
  <si>
    <t>quantities:</t>
  </si>
  <si>
    <t>Mengen:</t>
  </si>
  <si>
    <t>max. pc./shift estipolated</t>
  </si>
  <si>
    <t>max. Stück / Schicht, ermittelt</t>
  </si>
  <si>
    <t>pc / shift at reserved capacity</t>
  </si>
  <si>
    <t>Stück / Schicht (bei reservierter Maschinienkapazität)</t>
  </si>
  <si>
    <t>pc. / day at reserved capacity</t>
  </si>
  <si>
    <t>Stück / Tag (bei reservierter Maschinienkapazität)</t>
  </si>
  <si>
    <t>Stück / Woche (bei reservierter Maschinenkapazität)</t>
  </si>
  <si>
    <t>Stück / Jahr (bei reservierter Maschinenkapazität)</t>
  </si>
  <si>
    <t>remarks: the number of parts for the performance</t>
  </si>
  <si>
    <t>Remarks:   
The amount of parts to be produced during the Run@Rate shall be specified by the Supplier depending on actual shift model, recruitment situation, quantity needed for ramp-up, etc. If peak production level cannot be met with the current shift model, measures must be defined by the Supplier (e.g. increase of capacity with timing, reduction of scrap or rework rate, reduction of product cycle time, etc).</t>
  </si>
  <si>
    <t>amount of parts manufactured during run@rate</t>
  </si>
  <si>
    <t>quantitative evaluation (for bottleneck)</t>
  </si>
  <si>
    <t>commentssupplier1</t>
  </si>
  <si>
    <t>Anmerkungen Lieferant:</t>
  </si>
  <si>
    <t>Wurde der MANN+HUMMEL Input / Bedeutung und Kennzeichnung von Besonderen Merkmalen verwendet (z.B. aus Zeichnungen und PRFPP)?</t>
  </si>
  <si>
    <t>MANN+HUMMEL input / severity and Special Characteristics identification has been used (e.g. from drawings and PRFPP)?</t>
  </si>
  <si>
    <t>Wurden Input / Erfahrungen von ähnlichen Bauteilen genutzt?</t>
  </si>
  <si>
    <t>Can the actions listed avoid the causes or failure modes?</t>
  </si>
  <si>
    <t>Only partially present, checked and accepted</t>
  </si>
  <si>
    <t xml:space="preserve">
- Erstmuster-Teile müssen mit dem endgültigen Serienprozess unter Serienbedingungen hergestellt
  werden. Alle Abweichungen müssen an MANN+HUMMEL kommuniziert werden.
- Alternative PPAP Formblätter können verwendet werden, wenn diese inhaltlich equivalent sind.
- Abweichungen von den Forderungen (z.B. masslich oder Material) müssen in einer
  Abweichgenehmigung dokumentiert und MANN+HUMMEL angezeigt werden bevor der PPAP an
  MANN+HUMMEL geschickt wird. Entsprechende Maßnahmen sind zu definieren.
- Alle Formblätter müssen ausgefüllt und die im Blatt "Content" beschriebene Reihenfolge beigehalten werden.
- Die MANN+HUMMEL vorzulegenden Unterlagen sind im entsprechenden PRFPP definiert (siehe
  entsprechende Vorlagestufe)
- Weitere Details zum PPAP Prozess können im PPAP Manual gefunden werden.
- Weitere Dokumente, die dem PPAP beigefügt werden müssen: siehe PRFPP für Ihr Produkt.</t>
  </si>
  <si>
    <t>Teilenummer Kunde</t>
  </si>
  <si>
    <t>Werkzeuge: Verlagerung, Ersatz, Überholung oder Sonstiges</t>
  </si>
  <si>
    <t>Tooling: Transfer, Replacement, Refurbishment or additional</t>
  </si>
  <si>
    <t>Street, Address</t>
  </si>
  <si>
    <t>Stufe 1 - Bestätigung (und für ausgewiesene Aussehensteile: Bericht zur Freigabe des Aussehens) wird dem Kunden vorgelegt</t>
  </si>
  <si>
    <t>Stufe 2 - Bestätigung mit Musterteilen und eingeschränkte unterstützende Daten werden dem Kunden vorgelegt</t>
  </si>
  <si>
    <t>Stufe 3 - Bestätigung mit Musterteilen und umfassende unterstützende Daten werden dem Kunden vorgelegt</t>
  </si>
  <si>
    <t>Stufe 4 - Bestätigung und andere Anforderungen, wie sie vom Kunden festgelegt wurden</t>
  </si>
  <si>
    <t>Stufe 5 - Bestätigung mit Musterteilen und vollständinge unterstützende Daten, die am Produktionsstandort der Organisation bewertet werden</t>
  </si>
  <si>
    <t>Level 5 - Warrant with product samples and complete supporting data reviewed at supplier´s manufacturing location</t>
  </si>
  <si>
    <t>Level 4 - Warrant and other requirements as defined by customer</t>
  </si>
  <si>
    <t>Level 3 - Warrant with product samples and complete supporting data submitted to customer</t>
  </si>
  <si>
    <t>Level 2 - Warrant with product samples and limited supporting data submitted to customer</t>
  </si>
  <si>
    <t>Level 1 - Warrant only (and for designated appearance items, an Appearance Approval Report) submitted to customer</t>
  </si>
  <si>
    <t>Wir bestätigen hiermit, dass die in dieser Bestätigung zugrunde liegenden Muster repräsentativ für unsere Teile sind und in einem Prozess hergestellt wurden, der alle Anforerungen des Handbuchs Produktionsteil-Freigabeverfahren (PPAP) 4. Ausgabe erfüllt. Wir bestätigen weiterhin, dass diese Muster mit einer Produktionsrate von</t>
  </si>
  <si>
    <t>We affirm that the samples represented by this warrant are representative of our parts which were made by a process which meets all Production Part Approval Process manual 4th Edition requirements. We further affirm that these samples were produced at the production rate of</t>
  </si>
  <si>
    <t>Produktionslinien. Wir bestätigen auch, dass alle relevanten</t>
  </si>
  <si>
    <t>production streams. We also certify that documented evidence</t>
  </si>
  <si>
    <t>of such compliance is on file and is available for review. Any exceptions from this declaration are noted below.</t>
  </si>
  <si>
    <t>In case MANN+HUMMEL becomes legal owner/proprietor of the tooling(s)/fixture(s): With acceptance of this PPAP report MANN+HUMMEL shall become the legal owner/proprietor of the tooling(s), fixture(s) and corresponding CAD-Data which are mentioned in the Purchasing Order (PO), the supplier shall be the factual possessor.</t>
  </si>
  <si>
    <t>Für den Fall, dass MANN+HUMMEL Werkzeug-/Vorrichtungseigentümer wird: Mit Abnahme dieses PPAP-Berichts wird M+H Eigentümer der Werkzeuge, Vorrichtungen und entsprechenden CAD-Daten, die Umfang der Bestellung sind. Die Übergabe der Werkzeugen/Vorrichtungen wird durch die Vereinbarung ersetzt, dass der Lieferant unmittelbarer Besitzer bleibt und MANN+HUMMEL den mittelbaren Besitz erhält.</t>
  </si>
  <si>
    <t>PROCESS FLOW DIAGRAM</t>
  </si>
  <si>
    <t>ERGEBIS VOM LIEFERANTEN RUN@RATE</t>
  </si>
  <si>
    <t>NICHT OK</t>
  </si>
  <si>
    <t>TEILENAME:</t>
  </si>
  <si>
    <t>* Falls die Freigabe der Beschaffungsquelle erforderlich ist, ist die dem Lieferanten (Quelle) &amp; Kunden zugeordnete Kennnummer anzugeben</t>
  </si>
  <si>
    <t>* If source approval is required, include the Supplier (Source) &amp; Customer assigned code</t>
  </si>
  <si>
    <t>Are measures directed at eliminating causes or reducing the occurance of the causes of the failure modes?</t>
  </si>
  <si>
    <t>Have preventive control measures, instead of detection actions, been considered where applicable (e.g. POKA-YOKE)?</t>
  </si>
  <si>
    <t>NAME UND ANSCHRIFT DER UNTERLIEFERANTEN</t>
  </si>
  <si>
    <t>NAME AND ADRESS OF THE SUB-SUPPLIERS</t>
  </si>
  <si>
    <t xml:space="preserve">Produktionsteil-Freigabe
PPAP Status Unterlieferanten </t>
  </si>
  <si>
    <t>HIERMIT BESTÄTIGEN WIR, DASS AUCH UNSERE ZUGEKAUFTEN TEILE UND EIGENGEFERTIGTEN TEILE NACH PPAP BEMUSTERT UND FREIGEGEBEN WURDEN.
KOPIEN DER FREIGEGEBENEN DECKBLÄTTER LIEGEN DIESEM PPAP BEI !</t>
  </si>
  <si>
    <t>WE HEREWITH CONFIRM THAT ALSO OUR PURCHASED PARTS AND INHOUSE PRODUCED PARTS WERE HOMOLOGATED AND APPROVED ACCORDING TO THE PPAP PROCEDURE.
COPIES OF THE APPROVED PSW COVER SHEETS ARE ATTACHED TO THIS PPAP !</t>
  </si>
  <si>
    <t>Production Part Approval
Tooling List</t>
  </si>
  <si>
    <t>Assessment: Serial Production process</t>
  </si>
  <si>
    <t>Fixtures</t>
  </si>
  <si>
    <t>Chaining</t>
  </si>
  <si>
    <t>Production at serial production location</t>
  </si>
  <si>
    <t>Serie am Serienproduktionsort</t>
  </si>
  <si>
    <t>No serial production line</t>
  </si>
  <si>
    <t>No serial production tool</t>
  </si>
  <si>
    <t>No serial production tools</t>
  </si>
  <si>
    <t>Serial production tool</t>
  </si>
  <si>
    <t>Not as in serial production</t>
  </si>
  <si>
    <t>As in serial production</t>
  </si>
  <si>
    <t>Wie in Serienproduktion</t>
  </si>
  <si>
    <t>Nicht wie Serienproduktion</t>
  </si>
  <si>
    <t>No quality problems expected in serial production</t>
  </si>
  <si>
    <t>Vereinbarte Fähigkeitskennwerte teilweise unterschritten</t>
  </si>
  <si>
    <t>Agreed capability partially not achieved</t>
  </si>
  <si>
    <t>Replacement equipement available</t>
  </si>
  <si>
    <t>Gesamtergebnis:</t>
  </si>
  <si>
    <t>Production not at serial production location</t>
  </si>
  <si>
    <t>Maße</t>
  </si>
  <si>
    <t>Function</t>
  </si>
  <si>
    <t>Werkstoff</t>
  </si>
  <si>
    <t>No serial production material</t>
  </si>
  <si>
    <t>Serial production material</t>
  </si>
  <si>
    <t>No serial production material or different processing or customer specification not met</t>
  </si>
  <si>
    <t>Can be assembled</t>
  </si>
  <si>
    <t>Cannot be assembled</t>
  </si>
  <si>
    <t>Funktion n.i.O. bzw. nicht nachgewiesen</t>
  </si>
  <si>
    <t>Customer specification not met / demonstrated</t>
  </si>
  <si>
    <t xml:space="preserve">Customer specification met </t>
  </si>
  <si>
    <t>Rejected or not yet homologated</t>
  </si>
  <si>
    <t>Quantitative Evaluation (for bottleneck process)</t>
  </si>
  <si>
    <t>First Time Quality (FTQ)
(Amount of OK parts without rework)</t>
  </si>
  <si>
    <t>Bottleneck process:</t>
  </si>
  <si>
    <t>Contractual planned downtime
(lunch, breaks, etc.):</t>
  </si>
  <si>
    <t>Produzierte Gut-Teile:</t>
  </si>
  <si>
    <t>Production time without downtimes:</t>
  </si>
  <si>
    <t>Downtimes:</t>
  </si>
  <si>
    <t>Scrap rate, calculated:</t>
  </si>
  <si>
    <t>Set-up rate, calculated:</t>
  </si>
  <si>
    <t># of working days per week:</t>
  </si>
  <si>
    <t># of working days per year:</t>
  </si>
  <si>
    <t>Anzahl Arbeitstage/Woche:</t>
  </si>
  <si>
    <t>Anzahl Arbeitstage/Jahr:</t>
  </si>
  <si>
    <t>Anmerkung:   
Die zu fertigende Stückzahl für das Run@Rate ist produktabhängig durch den Lieferanten unter Berücksichtigung des aktuell eingerichteten Schichtmodells, Personalstands, Vorserienbedarfs und wirtschaftlichen Gesichtspunkten festzugelegen. Der Lieferant hat Maßnahmen zu definieren, wenn die Kammlinie im aktuellen Schichtmodell nicht darstellbar ist (z.B. Darstellung Kapazitätsaufbau mit Terminschiene, Maßnahmen zur Senkung von Ausschuß, Fertigungszeit,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</si>
</sst>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
    <numFmt numFmtId="165" formatCode="00"/>
    <numFmt numFmtId="166" formatCode="0.0;[Red]0.0"/>
    <numFmt numFmtId="167" formatCode="0.0"/>
    <numFmt numFmtId="168" formatCode="#,##0.00_ ;[Red]\-#,##0.00\ "/>
    <numFmt numFmtId="169" formatCode="#,##0_ ;\-#,##0\ "/>
    <numFmt numFmtId="170" formatCode="_-* #,##0\ _D_M_-;\-* #,##0\ _D_M_-;_-* &quot;-&quot;??\ _D_M_-;_-@_-"/>
  </numFmts>
  <fonts count="54">
    <font>
      <sz val="10"/>
      <name val="Arial"/>
    </font>
    <font>
      <sz val="8"/>
      <name val="Arial"/>
      <family val="2"/>
    </font>
    <font>
      <b/>
      <sz val="8"/>
      <name val="Arial"/>
      <family val="2"/>
    </font>
    <font>
      <sz val="6"/>
      <name val="Arial"/>
      <family val="2"/>
    </font>
    <font>
      <sz val="8"/>
      <name val="Arial"/>
      <family val="2"/>
    </font>
    <font>
      <sz val="7"/>
      <name val="Arial"/>
      <family val="2"/>
    </font>
    <font>
      <sz val="10"/>
      <name val="Arial"/>
      <family val="2"/>
    </font>
    <font>
      <sz val="10"/>
      <name val="Arial"/>
      <family val="2"/>
      <charset val="238"/>
    </font>
    <font>
      <sz val="16"/>
      <name val="Arial"/>
      <family val="2"/>
      <charset val="238"/>
    </font>
    <font>
      <sz val="8"/>
      <name val="Arial"/>
      <family val="2"/>
      <charset val="238"/>
    </font>
    <font>
      <b/>
      <sz val="10"/>
      <name val="Arial"/>
      <family val="2"/>
    </font>
    <font>
      <b/>
      <sz val="20"/>
      <name val="Arial"/>
      <family val="2"/>
    </font>
    <font>
      <b/>
      <sz val="14"/>
      <name val="Arial"/>
      <family val="2"/>
    </font>
    <font>
      <b/>
      <sz val="11"/>
      <name val="Arial"/>
      <family val="2"/>
    </font>
    <font>
      <b/>
      <u/>
      <sz val="8"/>
      <name val="Arial"/>
      <family val="2"/>
      <charset val="238"/>
    </font>
    <font>
      <b/>
      <i/>
      <sz val="8"/>
      <name val="Arial"/>
      <family val="2"/>
    </font>
    <font>
      <sz val="10"/>
      <color rgb="FFFF0000"/>
      <name val="Arial"/>
      <family val="2"/>
    </font>
    <font>
      <b/>
      <strike/>
      <sz val="10"/>
      <color rgb="FFFF0000"/>
      <name val="Arial"/>
      <family val="2"/>
    </font>
    <font>
      <b/>
      <sz val="10"/>
      <color rgb="FFFF0000"/>
      <name val="Arial"/>
      <family val="2"/>
    </font>
    <font>
      <b/>
      <sz val="10"/>
      <color rgb="FF0070C0"/>
      <name val="Arial"/>
      <family val="2"/>
      <charset val="238"/>
    </font>
    <font>
      <b/>
      <sz val="8"/>
      <name val="Arial"/>
      <family val="2"/>
      <charset val="238"/>
    </font>
    <font>
      <b/>
      <sz val="10"/>
      <name val="Arial"/>
      <family val="2"/>
      <charset val="238"/>
    </font>
    <font>
      <sz val="9"/>
      <name val="Arial"/>
      <family val="2"/>
      <charset val="238"/>
    </font>
    <font>
      <b/>
      <sz val="9"/>
      <name val="Arial"/>
      <family val="2"/>
      <charset val="238"/>
    </font>
    <font>
      <b/>
      <sz val="9"/>
      <name val="Arial"/>
      <family val="2"/>
    </font>
    <font>
      <sz val="16"/>
      <name val="Arial"/>
      <family val="2"/>
    </font>
    <font>
      <sz val="11"/>
      <name val="Arial"/>
      <family val="2"/>
    </font>
    <font>
      <b/>
      <u/>
      <sz val="18"/>
      <name val="Arial"/>
      <family val="2"/>
    </font>
    <font>
      <sz val="12"/>
      <name val="Arial"/>
      <family val="2"/>
    </font>
    <font>
      <sz val="12"/>
      <name val="Arial"/>
      <family val="2"/>
      <charset val="238"/>
    </font>
    <font>
      <b/>
      <sz val="12"/>
      <name val="Arial"/>
      <family val="2"/>
    </font>
    <font>
      <b/>
      <sz val="8"/>
      <name val="Arial Narrow"/>
      <family val="2"/>
    </font>
    <font>
      <sz val="10"/>
      <color rgb="FF000000"/>
      <name val="Arial"/>
      <family val="2"/>
      <charset val="238"/>
    </font>
    <font>
      <b/>
      <sz val="10"/>
      <color rgb="FF000000"/>
      <name val="Arial"/>
      <family val="2"/>
    </font>
    <font>
      <b/>
      <sz val="11"/>
      <color rgb="FF404040"/>
      <name val="Arial"/>
      <family val="2"/>
    </font>
    <font>
      <b/>
      <sz val="11"/>
      <color rgb="FF000000"/>
      <name val="Arial"/>
      <family val="2"/>
    </font>
    <font>
      <sz val="9"/>
      <color rgb="FF000000"/>
      <name val="Arial"/>
      <family val="2"/>
      <charset val="238"/>
    </font>
    <font>
      <sz val="10"/>
      <color rgb="FF000000"/>
      <name val="Arial"/>
      <family val="2"/>
    </font>
    <font>
      <sz val="9"/>
      <name val="Arial"/>
      <family val="2"/>
    </font>
    <font>
      <sz val="9"/>
      <color rgb="FF000000"/>
      <name val="Arial"/>
      <family val="2"/>
    </font>
    <font>
      <b/>
      <sz val="16"/>
      <name val="Arial"/>
      <family val="2"/>
    </font>
    <font>
      <b/>
      <sz val="10"/>
      <name val="Arial Narrow"/>
      <family val="2"/>
    </font>
    <font>
      <b/>
      <sz val="12"/>
      <color rgb="FF000000"/>
      <name val="Arial"/>
      <family val="2"/>
    </font>
    <font>
      <sz val="10"/>
      <name val="Arial"/>
      <family val="2"/>
    </font>
    <font>
      <sz val="9"/>
      <color theme="1"/>
      <name val="Arial"/>
      <family val="2"/>
    </font>
    <font>
      <sz val="10"/>
      <color indexed="10"/>
      <name val="Arial"/>
      <family val="2"/>
    </font>
    <font>
      <b/>
      <sz val="13"/>
      <name val="Arial"/>
      <family val="2"/>
      <charset val="238"/>
    </font>
    <font>
      <sz val="8"/>
      <name val="News Gothic"/>
    </font>
    <font>
      <sz val="13"/>
      <name val="Arial"/>
      <family val="2"/>
      <charset val="238"/>
    </font>
    <font>
      <sz val="9"/>
      <name val="News Gothic"/>
    </font>
    <font>
      <sz val="10"/>
      <name val="News Gothic"/>
    </font>
    <font>
      <sz val="14"/>
      <name val="Arial"/>
      <family val="2"/>
    </font>
    <font>
      <strike/>
      <sz val="10"/>
      <name val="Arial"/>
      <family val="2"/>
    </font>
    <font>
      <b/>
      <sz val="9"/>
      <color rgb="FF000000"/>
      <name val="Arial"/>
      <family val="2"/>
    </font>
  </fonts>
  <fills count="11">
    <fill>
      <patternFill patternType="none"/>
    </fill>
    <fill>
      <patternFill patternType="gray125"/>
    </fill>
    <fill>
      <patternFill patternType="solid">
        <fgColor rgb="FFCCFF99"/>
        <bgColor indexed="64"/>
      </patternFill>
    </fill>
    <fill>
      <patternFill patternType="solid">
        <fgColor theme="0"/>
        <bgColor indexed="64"/>
      </patternFill>
    </fill>
    <fill>
      <patternFill patternType="solid">
        <fgColor rgb="FF00CC00"/>
        <bgColor rgb="FF000000"/>
      </patternFill>
    </fill>
    <fill>
      <patternFill patternType="solid">
        <fgColor rgb="FFFFFF00"/>
        <bgColor rgb="FF000000"/>
      </patternFill>
    </fill>
    <fill>
      <patternFill patternType="solid">
        <fgColor rgb="FFFF0000"/>
        <bgColor rgb="FF000000"/>
      </patternFill>
    </fill>
    <fill>
      <patternFill patternType="solid">
        <fgColor rgb="FFFFFFFF"/>
        <bgColor rgb="FF000000"/>
      </patternFill>
    </fill>
    <fill>
      <patternFill patternType="solid">
        <fgColor rgb="FFCCFF99"/>
        <bgColor rgb="FF000000"/>
      </patternFill>
    </fill>
    <fill>
      <patternFill patternType="solid">
        <fgColor theme="0" tint="-0.14999847407452621"/>
        <bgColor indexed="64"/>
      </patternFill>
    </fill>
    <fill>
      <patternFill patternType="solid">
        <fgColor theme="0" tint="-0.249977111117893"/>
        <bgColor indexed="64"/>
      </patternFill>
    </fill>
  </fills>
  <borders count="10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dashed">
        <color indexed="64"/>
      </top>
      <bottom style="thin">
        <color indexed="64"/>
      </bottom>
      <diagonal/>
    </border>
    <border>
      <left style="medium">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ash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style="medium">
        <color indexed="64"/>
      </top>
      <bottom style="thin">
        <color indexed="64"/>
      </bottom>
      <diagonal/>
    </border>
    <border>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right/>
      <top style="double">
        <color indexed="64"/>
      </top>
      <bottom style="double">
        <color indexed="64"/>
      </bottom>
      <diagonal/>
    </border>
  </borders>
  <cellStyleXfs count="2">
    <xf numFmtId="0" fontId="0" fillId="0" borderId="0"/>
    <xf numFmtId="9" fontId="43" fillId="0" borderId="0" applyFont="0" applyFill="0" applyBorder="0" applyAlignment="0" applyProtection="0"/>
  </cellStyleXfs>
  <cellXfs count="1223">
    <xf numFmtId="0" fontId="0" fillId="0" borderId="0" xfId="0"/>
    <xf numFmtId="0" fontId="1" fillId="0" borderId="0" xfId="0" applyFont="1" applyBorder="1"/>
    <xf numFmtId="0" fontId="0" fillId="0" borderId="0" xfId="0" applyBorder="1"/>
    <xf numFmtId="0" fontId="3" fillId="0" borderId="0" xfId="0" applyFont="1" applyBorder="1"/>
    <xf numFmtId="0" fontId="0" fillId="0" borderId="8" xfId="0" applyBorder="1"/>
    <xf numFmtId="0" fontId="0" fillId="0" borderId="0" xfId="0" applyBorder="1" applyProtection="1"/>
    <xf numFmtId="0" fontId="10" fillId="0" borderId="0" xfId="0" applyFont="1" applyBorder="1" applyProtection="1"/>
    <xf numFmtId="0" fontId="11" fillId="0" borderId="0" xfId="0" applyFont="1" applyBorder="1" applyAlignment="1" applyProtection="1">
      <alignment vertical="center"/>
    </xf>
    <xf numFmtId="0" fontId="12" fillId="0" borderId="0" xfId="0" applyFont="1" applyBorder="1" applyAlignment="1" applyProtection="1">
      <alignment vertical="center"/>
    </xf>
    <xf numFmtId="0" fontId="17" fillId="0" borderId="0" xfId="0" applyFont="1" applyFill="1" applyBorder="1" applyAlignment="1" applyProtection="1">
      <alignment vertical="center" wrapText="1"/>
    </xf>
    <xf numFmtId="0" fontId="18" fillId="0" borderId="0" xfId="0" applyFont="1" applyBorder="1" applyAlignment="1" applyProtection="1">
      <alignment vertical="center"/>
    </xf>
    <xf numFmtId="0" fontId="18" fillId="0" borderId="0" xfId="0" applyFont="1" applyBorder="1" applyAlignment="1" applyProtection="1"/>
    <xf numFmtId="0" fontId="18" fillId="0" borderId="0" xfId="0" applyFont="1" applyBorder="1" applyAlignment="1" applyProtection="1">
      <alignment vertical="center" wrapText="1"/>
    </xf>
    <xf numFmtId="0" fontId="13" fillId="0" borderId="0" xfId="0" applyFont="1" applyBorder="1" applyProtection="1"/>
    <xf numFmtId="0" fontId="18" fillId="0" borderId="0" xfId="0" applyFont="1" applyBorder="1" applyAlignment="1" applyProtection="1">
      <alignment wrapText="1"/>
    </xf>
    <xf numFmtId="0" fontId="13" fillId="0" borderId="0" xfId="0" applyFont="1" applyAlignment="1" applyProtection="1">
      <alignment vertical="center"/>
    </xf>
    <xf numFmtId="0" fontId="13" fillId="0" borderId="0" xfId="0" applyFont="1" applyBorder="1" applyAlignment="1" applyProtection="1">
      <alignment vertical="center"/>
    </xf>
    <xf numFmtId="0" fontId="18" fillId="0" borderId="0" xfId="0" applyFont="1" applyBorder="1" applyAlignment="1" applyProtection="1">
      <alignment vertical="top" wrapText="1"/>
    </xf>
    <xf numFmtId="0" fontId="18" fillId="0" borderId="0" xfId="0" applyFont="1" applyBorder="1" applyAlignment="1" applyProtection="1">
      <alignment vertical="top"/>
    </xf>
    <xf numFmtId="0" fontId="2" fillId="0" borderId="0" xfId="0" applyFont="1" applyBorder="1" applyProtection="1"/>
    <xf numFmtId="0" fontId="18" fillId="0" borderId="0" xfId="0" applyFont="1" applyBorder="1" applyAlignment="1" applyProtection="1">
      <alignment horizontal="left" wrapText="1"/>
    </xf>
    <xf numFmtId="0" fontId="0" fillId="0" borderId="0" xfId="0" applyAlignment="1">
      <alignment wrapText="1"/>
    </xf>
    <xf numFmtId="0" fontId="6" fillId="0" borderId="0" xfId="0" applyFont="1" applyBorder="1" applyAlignment="1">
      <alignment wrapText="1"/>
    </xf>
    <xf numFmtId="0" fontId="5" fillId="0" borderId="0" xfId="0" applyFont="1" applyBorder="1" applyAlignment="1">
      <alignment horizontal="left"/>
    </xf>
    <xf numFmtId="0" fontId="0" fillId="0" borderId="0" xfId="0" applyAlignment="1">
      <alignment horizontal="center" wrapText="1"/>
    </xf>
    <xf numFmtId="0" fontId="0" fillId="0" borderId="0" xfId="0" applyAlignment="1"/>
    <xf numFmtId="0" fontId="6" fillId="0" borderId="0" xfId="0" applyFont="1" applyBorder="1" applyAlignment="1"/>
    <xf numFmtId="49" fontId="1" fillId="0" borderId="0" xfId="0" applyNumberFormat="1" applyFont="1" applyBorder="1" applyAlignment="1"/>
    <xf numFmtId="0" fontId="5" fillId="0" borderId="0" xfId="0" applyFont="1" applyBorder="1" applyAlignment="1">
      <alignment horizontal="center"/>
    </xf>
    <xf numFmtId="0" fontId="1" fillId="0" borderId="1" xfId="0" applyFont="1" applyBorder="1" applyAlignment="1"/>
    <xf numFmtId="49" fontId="20" fillId="0" borderId="0" xfId="0" applyNumberFormat="1" applyFont="1" applyFill="1" applyBorder="1" applyAlignment="1" applyProtection="1">
      <alignment horizontal="center"/>
    </xf>
    <xf numFmtId="0" fontId="1" fillId="0" borderId="0" xfId="0" applyFont="1" applyBorder="1" applyAlignment="1" applyProtection="1"/>
    <xf numFmtId="0" fontId="0" fillId="0" borderId="0" xfId="0" applyProtection="1"/>
    <xf numFmtId="0" fontId="16" fillId="0" borderId="0" xfId="0" applyFont="1" applyBorder="1" applyProtection="1"/>
    <xf numFmtId="0" fontId="16" fillId="0" borderId="0" xfId="0" applyFont="1" applyFill="1" applyBorder="1" applyProtection="1"/>
    <xf numFmtId="0" fontId="6" fillId="0" borderId="0" xfId="0" applyFont="1"/>
    <xf numFmtId="0" fontId="6" fillId="0" borderId="0" xfId="0" applyFont="1" applyAlignment="1">
      <alignment horizontal="center" vertical="center" wrapText="1"/>
    </xf>
    <xf numFmtId="0" fontId="7" fillId="0" borderId="32" xfId="0" applyFont="1" applyBorder="1" applyAlignment="1">
      <alignment horizontal="center" vertical="center" wrapText="1"/>
    </xf>
    <xf numFmtId="0" fontId="7" fillId="0" borderId="75" xfId="0" applyFont="1" applyBorder="1" applyAlignment="1">
      <alignment horizontal="center" vertical="center" wrapText="1"/>
    </xf>
    <xf numFmtId="0" fontId="6" fillId="0" borderId="0" xfId="0" applyFont="1" applyAlignment="1">
      <alignment wrapText="1"/>
    </xf>
    <xf numFmtId="0" fontId="6" fillId="0" borderId="1" xfId="0" applyFont="1" applyBorder="1" applyAlignment="1">
      <alignment wrapText="1"/>
    </xf>
    <xf numFmtId="0" fontId="6" fillId="0" borderId="1" xfId="0" applyFont="1" applyBorder="1"/>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0" borderId="0" xfId="0" applyFont="1"/>
    <xf numFmtId="0" fontId="6" fillId="0" borderId="0" xfId="0" applyFont="1" applyBorder="1"/>
    <xf numFmtId="0" fontId="6" fillId="0" borderId="8" xfId="0" applyFont="1" applyBorder="1"/>
    <xf numFmtId="0" fontId="6" fillId="2" borderId="42" xfId="0" applyFont="1" applyFill="1" applyBorder="1" applyAlignment="1" applyProtection="1">
      <alignment horizontal="center" vertical="center" wrapText="1"/>
      <protection locked="0"/>
    </xf>
    <xf numFmtId="0" fontId="6" fillId="0" borderId="0" xfId="0" applyFont="1" applyFill="1" applyBorder="1"/>
    <xf numFmtId="0" fontId="6" fillId="0" borderId="14" xfId="0" applyFont="1" applyBorder="1" applyAlignment="1">
      <alignment horizontal="center" vertical="center" wrapText="1"/>
    </xf>
    <xf numFmtId="0" fontId="6" fillId="2" borderId="19"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49" fontId="22" fillId="2" borderId="18" xfId="0" applyNumberFormat="1" applyFont="1" applyFill="1" applyBorder="1" applyAlignment="1" applyProtection="1">
      <alignment horizontal="center" vertical="center"/>
      <protection locked="0"/>
    </xf>
    <xf numFmtId="0" fontId="6" fillId="0" borderId="0" xfId="0" applyFont="1" applyBorder="1" applyAlignment="1">
      <alignment vertical="top"/>
    </xf>
    <xf numFmtId="0" fontId="6" fillId="0" borderId="0" xfId="0" applyFont="1" applyAlignment="1" applyProtection="1">
      <alignment wrapText="1"/>
    </xf>
    <xf numFmtId="0" fontId="6" fillId="0" borderId="0" xfId="0" applyFont="1" applyBorder="1" applyAlignment="1" applyProtection="1">
      <alignment wrapText="1"/>
    </xf>
    <xf numFmtId="0" fontId="6" fillId="0" borderId="0" xfId="0" quotePrefix="1" applyFont="1" applyBorder="1" applyAlignment="1" applyProtection="1">
      <alignment wrapText="1"/>
    </xf>
    <xf numFmtId="0" fontId="6" fillId="0" borderId="6" xfId="0" applyFont="1" applyBorder="1" applyAlignment="1">
      <alignment wrapText="1"/>
    </xf>
    <xf numFmtId="0" fontId="6" fillId="0" borderId="0" xfId="0" applyFont="1" applyFill="1" applyBorder="1" applyAlignment="1">
      <alignment wrapText="1"/>
    </xf>
    <xf numFmtId="0" fontId="6" fillId="0" borderId="1" xfId="0" applyFont="1" applyFill="1" applyBorder="1" applyAlignment="1">
      <alignment wrapText="1"/>
    </xf>
    <xf numFmtId="0" fontId="7" fillId="0" borderId="0" xfId="0" applyFont="1" applyFill="1" applyBorder="1"/>
    <xf numFmtId="0" fontId="26" fillId="0" borderId="0" xfId="0" applyFont="1" applyFill="1" applyBorder="1" applyAlignment="1" applyProtection="1">
      <alignment wrapText="1"/>
    </xf>
    <xf numFmtId="0" fontId="26" fillId="0" borderId="0" xfId="0" quotePrefix="1" applyFont="1" applyFill="1" applyBorder="1" applyAlignment="1" applyProtection="1">
      <alignment wrapText="1"/>
    </xf>
    <xf numFmtId="0" fontId="7" fillId="0" borderId="0" xfId="0" applyFont="1" applyBorder="1" applyAlignment="1">
      <alignment vertical="center"/>
    </xf>
    <xf numFmtId="0" fontId="7" fillId="0" borderId="0" xfId="0" applyFont="1" applyFill="1" applyBorder="1" applyAlignment="1">
      <alignment vertical="center"/>
    </xf>
    <xf numFmtId="0" fontId="0" fillId="0" borderId="0" xfId="0" applyFill="1" applyBorder="1"/>
    <xf numFmtId="0" fontId="0" fillId="0" borderId="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28" fillId="0" borderId="61" xfId="0" applyFont="1" applyBorder="1" applyAlignment="1">
      <alignment horizontal="center" vertical="center"/>
    </xf>
    <xf numFmtId="0" fontId="6" fillId="0" borderId="0" xfId="0" applyFont="1" applyBorder="1" applyAlignment="1">
      <alignment vertical="top" wrapText="1"/>
    </xf>
    <xf numFmtId="0" fontId="6" fillId="0" borderId="1" xfId="0" applyFont="1" applyBorder="1" applyAlignment="1">
      <alignment vertical="top" wrapText="1"/>
    </xf>
    <xf numFmtId="0" fontId="20" fillId="0" borderId="0" xfId="0" applyFont="1" applyFill="1" applyBorder="1" applyAlignment="1" applyProtection="1">
      <alignment horizontal="center"/>
    </xf>
    <xf numFmtId="0" fontId="6" fillId="0" borderId="0" xfId="0" applyFont="1" applyBorder="1" applyAlignment="1" applyProtection="1"/>
    <xf numFmtId="0" fontId="1" fillId="0" borderId="0" xfId="0" applyFont="1" applyBorder="1" applyAlignment="1" applyProtection="1">
      <alignment horizontal="left"/>
    </xf>
    <xf numFmtId="0" fontId="20" fillId="0" borderId="6" xfId="0" applyFont="1" applyFill="1" applyBorder="1" applyAlignment="1" applyProtection="1">
      <alignment horizontal="center"/>
    </xf>
    <xf numFmtId="0" fontId="6" fillId="0" borderId="0" xfId="0" applyFont="1" applyBorder="1" applyAlignment="1" applyProtection="1">
      <alignment vertical="center" wrapText="1"/>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0" xfId="0" applyFont="1" applyProtection="1"/>
    <xf numFmtId="0" fontId="7" fillId="0" borderId="0" xfId="0" applyFont="1" applyBorder="1" applyAlignment="1" applyProtection="1"/>
    <xf numFmtId="0" fontId="7" fillId="0" borderId="11" xfId="0" applyFont="1" applyBorder="1" applyProtection="1"/>
    <xf numFmtId="0" fontId="7" fillId="0" borderId="7" xfId="0" applyFont="1" applyBorder="1" applyProtection="1"/>
    <xf numFmtId="0" fontId="7" fillId="0" borderId="12" xfId="0" applyFont="1" applyBorder="1" applyProtection="1"/>
    <xf numFmtId="0" fontId="7" fillId="0" borderId="0" xfId="0" applyFont="1" applyBorder="1" applyProtection="1"/>
    <xf numFmtId="0" fontId="19" fillId="0" borderId="0" xfId="0" applyFont="1" applyFill="1" applyBorder="1" applyAlignment="1" applyProtection="1">
      <alignment vertical="center"/>
    </xf>
    <xf numFmtId="0" fontId="0" fillId="0" borderId="0" xfId="0" applyAlignment="1" applyProtection="1"/>
    <xf numFmtId="0" fontId="0" fillId="0" borderId="0" xfId="0" applyAlignment="1" applyProtection="1">
      <alignment wrapText="1"/>
    </xf>
    <xf numFmtId="0" fontId="0" fillId="0" borderId="0" xfId="0" applyAlignment="1" applyProtection="1">
      <alignment horizontal="center" wrapText="1"/>
    </xf>
    <xf numFmtId="0" fontId="28" fillId="0" borderId="0" xfId="0" applyFont="1" applyBorder="1" applyAlignment="1" applyProtection="1">
      <alignment vertical="center"/>
    </xf>
    <xf numFmtId="0" fontId="29" fillId="0" borderId="0" xfId="0" applyFont="1" applyBorder="1" applyAlignment="1" applyProtection="1">
      <alignment horizontal="left" vertical="center"/>
    </xf>
    <xf numFmtId="0" fontId="30" fillId="0" borderId="0" xfId="0" applyFont="1" applyFill="1" applyBorder="1" applyAlignment="1" applyProtection="1"/>
    <xf numFmtId="0" fontId="7" fillId="0" borderId="0" xfId="0" quotePrefix="1" applyFont="1" applyFill="1" applyBorder="1" applyAlignment="1" applyProtection="1">
      <alignment vertical="center" wrapText="1"/>
    </xf>
    <xf numFmtId="0" fontId="29" fillId="0" borderId="0" xfId="0" applyFont="1" applyBorder="1" applyAlignment="1" applyProtection="1">
      <alignment vertical="center"/>
    </xf>
    <xf numFmtId="0" fontId="28" fillId="0" borderId="12" xfId="0" applyFont="1" applyBorder="1" applyAlignment="1" applyProtection="1">
      <alignment vertical="center"/>
    </xf>
    <xf numFmtId="0" fontId="29" fillId="0" borderId="0" xfId="0" applyFont="1" applyBorder="1" applyAlignment="1" applyProtection="1">
      <alignment horizontal="center" vertical="center"/>
    </xf>
    <xf numFmtId="0" fontId="6" fillId="0" borderId="0" xfId="0" applyFont="1" applyFill="1" applyBorder="1" applyAlignment="1" applyProtection="1">
      <alignment vertical="center" wrapText="1"/>
    </xf>
    <xf numFmtId="0" fontId="7" fillId="0" borderId="0" xfId="0" applyFont="1" applyAlignment="1" applyProtection="1">
      <alignment wrapText="1"/>
    </xf>
    <xf numFmtId="0" fontId="6" fillId="0" borderId="11" xfId="0" applyFont="1" applyBorder="1" applyAlignment="1" applyProtection="1">
      <alignment horizontal="left" vertical="center"/>
    </xf>
    <xf numFmtId="0" fontId="6" fillId="0" borderId="7" xfId="0" applyFont="1" applyBorder="1" applyProtection="1"/>
    <xf numFmtId="0" fontId="10" fillId="0" borderId="7" xfId="0" applyFont="1" applyFill="1" applyBorder="1" applyAlignment="1" applyProtection="1"/>
    <xf numFmtId="0" fontId="1" fillId="0" borderId="12" xfId="0" applyFont="1" applyBorder="1" applyProtection="1"/>
    <xf numFmtId="0" fontId="6" fillId="0" borderId="0" xfId="0" applyFont="1" applyBorder="1" applyProtection="1"/>
    <xf numFmtId="0" fontId="6" fillId="0" borderId="0" xfId="0" applyFont="1" applyFill="1" applyBorder="1" applyProtection="1"/>
    <xf numFmtId="0" fontId="0" fillId="0" borderId="6" xfId="0" applyBorder="1" applyAlignment="1">
      <alignment vertical="top" wrapText="1"/>
    </xf>
    <xf numFmtId="0" fontId="25" fillId="0" borderId="0" xfId="0" applyFont="1" applyBorder="1" applyAlignment="1">
      <alignment wrapText="1"/>
    </xf>
    <xf numFmtId="0" fontId="25" fillId="0" borderId="8" xfId="0" applyFont="1" applyBorder="1" applyAlignment="1">
      <alignment wrapText="1"/>
    </xf>
    <xf numFmtId="0" fontId="8" fillId="0" borderId="0" xfId="0" applyFont="1" applyBorder="1" applyAlignment="1">
      <alignment wrapText="1"/>
    </xf>
    <xf numFmtId="0" fontId="8" fillId="0" borderId="8" xfId="0" applyFont="1" applyBorder="1" applyAlignment="1">
      <alignment wrapText="1"/>
    </xf>
    <xf numFmtId="0" fontId="10" fillId="0" borderId="0" xfId="0" applyFont="1" applyBorder="1" applyAlignment="1">
      <alignment horizontal="center"/>
    </xf>
    <xf numFmtId="0" fontId="2" fillId="0" borderId="0" xfId="0" applyFont="1" applyBorder="1" applyAlignment="1"/>
    <xf numFmtId="0" fontId="20" fillId="0" borderId="0" xfId="0" applyFont="1" applyFill="1" applyBorder="1" applyAlignment="1"/>
    <xf numFmtId="0" fontId="2" fillId="0" borderId="0" xfId="0" applyFont="1" applyBorder="1" applyAlignment="1">
      <alignment horizontal="center"/>
    </xf>
    <xf numFmtId="0" fontId="31" fillId="0" borderId="0" xfId="0" applyFont="1" applyBorder="1" applyAlignment="1">
      <alignment horizontal="center"/>
    </xf>
    <xf numFmtId="0" fontId="32" fillId="0" borderId="11" xfId="0" applyFont="1" applyFill="1" applyBorder="1"/>
    <xf numFmtId="0" fontId="32" fillId="0" borderId="12" xfId="0" applyFont="1" applyFill="1" applyBorder="1"/>
    <xf numFmtId="0" fontId="32" fillId="0" borderId="0" xfId="0" applyFont="1" applyFill="1" applyBorder="1"/>
    <xf numFmtId="0" fontId="32" fillId="0" borderId="10" xfId="0" applyFont="1" applyFill="1" applyBorder="1"/>
    <xf numFmtId="0" fontId="32" fillId="0" borderId="0" xfId="0" applyFont="1" applyFill="1" applyBorder="1" applyAlignment="1">
      <alignment horizontal="center"/>
    </xf>
    <xf numFmtId="0" fontId="32" fillId="0" borderId="13" xfId="0" applyFont="1" applyFill="1" applyBorder="1"/>
    <xf numFmtId="0" fontId="32" fillId="0" borderId="8" xfId="0" applyFont="1" applyFill="1" applyBorder="1" applyAlignment="1">
      <alignment horizontal="center"/>
    </xf>
    <xf numFmtId="0" fontId="32" fillId="0" borderId="8" xfId="0" applyFont="1" applyFill="1" applyBorder="1"/>
    <xf numFmtId="0" fontId="32" fillId="0" borderId="25" xfId="0" applyFont="1" applyFill="1" applyBorder="1"/>
    <xf numFmtId="0" fontId="32" fillId="0" borderId="7" xfId="0" applyFont="1" applyFill="1" applyBorder="1"/>
    <xf numFmtId="0" fontId="32" fillId="0" borderId="9" xfId="0" applyFont="1" applyFill="1" applyBorder="1"/>
    <xf numFmtId="0" fontId="32" fillId="0" borderId="15" xfId="0" applyFont="1" applyFill="1" applyBorder="1"/>
    <xf numFmtId="0" fontId="32" fillId="0" borderId="16" xfId="0" applyFont="1" applyFill="1" applyBorder="1"/>
    <xf numFmtId="0" fontId="35" fillId="7" borderId="13" xfId="0" applyFont="1" applyFill="1" applyBorder="1" applyAlignment="1">
      <alignment vertical="top"/>
    </xf>
    <xf numFmtId="0" fontId="35" fillId="7" borderId="8" xfId="0" applyFont="1" applyFill="1" applyBorder="1" applyAlignment="1">
      <alignment vertical="top"/>
    </xf>
    <xf numFmtId="0" fontId="35" fillId="7" borderId="25" xfId="0" applyFont="1" applyFill="1" applyBorder="1" applyAlignment="1">
      <alignment vertical="top"/>
    </xf>
    <xf numFmtId="0" fontId="33" fillId="0" borderId="13" xfId="0" applyFont="1" applyFill="1" applyBorder="1" applyAlignment="1">
      <alignment vertical="top" wrapText="1"/>
    </xf>
    <xf numFmtId="0" fontId="33" fillId="0" borderId="8" xfId="0" applyFont="1" applyFill="1" applyBorder="1" applyAlignment="1">
      <alignment vertical="top" wrapText="1"/>
    </xf>
    <xf numFmtId="0" fontId="33" fillId="0" borderId="25" xfId="0" applyFont="1" applyFill="1" applyBorder="1" applyAlignment="1">
      <alignment vertical="top" wrapText="1"/>
    </xf>
    <xf numFmtId="0" fontId="7" fillId="0" borderId="12" xfId="0" applyFont="1" applyFill="1" applyBorder="1"/>
    <xf numFmtId="0" fontId="7" fillId="0" borderId="13" xfId="0" applyFont="1" applyFill="1" applyBorder="1"/>
    <xf numFmtId="0" fontId="33" fillId="0" borderId="8" xfId="0" applyFont="1" applyFill="1" applyBorder="1" applyAlignment="1">
      <alignment vertical="top"/>
    </xf>
    <xf numFmtId="0" fontId="33" fillId="0" borderId="25" xfId="0" applyFont="1" applyFill="1" applyBorder="1" applyAlignment="1">
      <alignment vertical="top"/>
    </xf>
    <xf numFmtId="0" fontId="33" fillId="0" borderId="0" xfId="0" applyFont="1" applyFill="1" applyBorder="1" applyAlignment="1">
      <alignment vertical="top"/>
    </xf>
    <xf numFmtId="0" fontId="36" fillId="0" borderId="0" xfId="0" applyFont="1" applyFill="1" applyBorder="1" applyAlignment="1">
      <alignment vertical="top" wrapText="1"/>
    </xf>
    <xf numFmtId="0" fontId="32" fillId="0" borderId="0" xfId="0" applyFont="1" applyFill="1" applyBorder="1" applyAlignment="1">
      <alignment vertical="top"/>
    </xf>
    <xf numFmtId="0" fontId="37" fillId="0" borderId="0" xfId="0" applyFont="1" applyFill="1" applyBorder="1"/>
    <xf numFmtId="0" fontId="7" fillId="0" borderId="0" xfId="0" applyFont="1" applyFill="1" applyBorder="1" applyAlignment="1"/>
    <xf numFmtId="0" fontId="7" fillId="0" borderId="10" xfId="0" applyFont="1" applyFill="1" applyBorder="1" applyAlignment="1"/>
    <xf numFmtId="0" fontId="35" fillId="7" borderId="12" xfId="0" applyFont="1" applyFill="1" applyBorder="1" applyAlignment="1">
      <alignment vertical="top"/>
    </xf>
    <xf numFmtId="0" fontId="35" fillId="7" borderId="0" xfId="0" applyFont="1" applyFill="1" applyBorder="1" applyAlignment="1">
      <alignment vertical="top"/>
    </xf>
    <xf numFmtId="0" fontId="35" fillId="7" borderId="10" xfId="0" applyFont="1" applyFill="1" applyBorder="1" applyAlignment="1">
      <alignment vertical="top"/>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vertical="center"/>
    </xf>
    <xf numFmtId="0" fontId="37" fillId="0" borderId="0" xfId="0" applyFont="1" applyFill="1" applyBorder="1" applyAlignment="1">
      <alignment horizontal="center" vertical="top"/>
    </xf>
    <xf numFmtId="0" fontId="33" fillId="0" borderId="12" xfId="0" applyFont="1" applyFill="1" applyBorder="1" applyAlignment="1"/>
    <xf numFmtId="0" fontId="33" fillId="0" borderId="0" xfId="0" applyFont="1" applyFill="1" applyBorder="1" applyAlignment="1"/>
    <xf numFmtId="0" fontId="33" fillId="0" borderId="10" xfId="0" applyFont="1" applyFill="1" applyBorder="1" applyAlignment="1"/>
    <xf numFmtId="0" fontId="33" fillId="0" borderId="12" xfId="0" applyFont="1" applyFill="1" applyBorder="1" applyAlignment="1">
      <alignment vertical="top" wrapText="1"/>
    </xf>
    <xf numFmtId="0" fontId="33" fillId="0" borderId="0" xfId="0" applyFont="1" applyFill="1" applyBorder="1" applyAlignment="1">
      <alignment vertical="top" wrapText="1"/>
    </xf>
    <xf numFmtId="0" fontId="33" fillId="0" borderId="10" xfId="0" applyFont="1" applyFill="1" applyBorder="1" applyAlignment="1">
      <alignment vertical="top" wrapText="1"/>
    </xf>
    <xf numFmtId="0" fontId="32" fillId="0" borderId="0" xfId="0" applyFont="1" applyFill="1" applyBorder="1" applyAlignment="1">
      <alignment horizontal="center"/>
    </xf>
    <xf numFmtId="0" fontId="30" fillId="3" borderId="18" xfId="0" applyFont="1" applyFill="1" applyBorder="1" applyAlignment="1" applyProtection="1">
      <alignment horizontal="center" vertical="center" wrapText="1"/>
      <protection locked="0"/>
    </xf>
    <xf numFmtId="0" fontId="7" fillId="2" borderId="12" xfId="0" applyFont="1" applyFill="1" applyBorder="1" applyProtection="1"/>
    <xf numFmtId="0" fontId="7" fillId="2" borderId="0" xfId="0" applyFont="1" applyFill="1" applyBorder="1" applyProtection="1"/>
    <xf numFmtId="0" fontId="7" fillId="2" borderId="22" xfId="0" applyFont="1" applyFill="1" applyBorder="1" applyAlignment="1" applyProtection="1">
      <alignment horizontal="left" vertical="center"/>
    </xf>
    <xf numFmtId="0" fontId="0" fillId="2" borderId="6" xfId="0" applyFill="1" applyBorder="1" applyProtection="1"/>
    <xf numFmtId="0" fontId="7" fillId="0" borderId="6" xfId="0" applyFont="1" applyBorder="1" applyAlignment="1" applyProtection="1">
      <alignment horizontal="left" vertical="center"/>
    </xf>
    <xf numFmtId="0" fontId="0" fillId="2" borderId="0" xfId="0" applyFill="1" applyBorder="1" applyProtection="1"/>
    <xf numFmtId="0" fontId="6" fillId="2" borderId="0" xfId="0" applyFont="1" applyFill="1" applyBorder="1" applyAlignment="1" applyProtection="1">
      <alignment vertical="center" wrapText="1"/>
    </xf>
    <xf numFmtId="0" fontId="7" fillId="0" borderId="0" xfId="0" applyFont="1" applyBorder="1" applyAlignment="1" applyProtection="1">
      <alignment horizontal="left" vertical="center"/>
    </xf>
    <xf numFmtId="0" fontId="7" fillId="2" borderId="76" xfId="0" applyFont="1" applyFill="1" applyBorder="1" applyProtection="1"/>
    <xf numFmtId="0" fontId="7" fillId="2" borderId="92" xfId="0" applyFont="1" applyFill="1" applyBorder="1" applyProtection="1"/>
    <xf numFmtId="0" fontId="6" fillId="2" borderId="92" xfId="0" applyFont="1" applyFill="1" applyBorder="1" applyAlignment="1" applyProtection="1">
      <alignment vertical="center" wrapText="1"/>
    </xf>
    <xf numFmtId="0" fontId="0" fillId="2" borderId="92" xfId="0" applyFill="1" applyBorder="1" applyProtection="1"/>
    <xf numFmtId="0" fontId="7" fillId="0" borderId="92" xfId="0" applyFont="1" applyBorder="1" applyAlignment="1" applyProtection="1">
      <alignment horizontal="left" vertical="center"/>
    </xf>
    <xf numFmtId="0" fontId="0" fillId="2" borderId="90" xfId="0" applyFill="1" applyBorder="1" applyProtection="1"/>
    <xf numFmtId="0" fontId="0" fillId="0" borderId="90" xfId="0" applyBorder="1" applyProtection="1"/>
    <xf numFmtId="0" fontId="0" fillId="0" borderId="92" xfId="0" applyBorder="1" applyProtection="1"/>
    <xf numFmtId="0" fontId="7" fillId="0" borderId="0" xfId="0" applyFont="1" applyBorder="1" applyAlignment="1" applyProtection="1">
      <alignment horizontal="left" vertical="center" wrapText="1"/>
    </xf>
    <xf numFmtId="0" fontId="7" fillId="0" borderId="92" xfId="0" applyFont="1" applyBorder="1" applyAlignment="1" applyProtection="1">
      <alignment horizontal="left" vertical="center" wrapText="1"/>
    </xf>
    <xf numFmtId="0" fontId="7" fillId="2" borderId="89" xfId="0" applyFont="1" applyFill="1" applyBorder="1" applyProtection="1"/>
    <xf numFmtId="0" fontId="7" fillId="2" borderId="90" xfId="0" applyFont="1" applyFill="1" applyBorder="1" applyProtection="1"/>
    <xf numFmtId="0" fontId="6" fillId="2" borderId="90" xfId="0" applyFont="1" applyFill="1" applyBorder="1" applyAlignment="1" applyProtection="1">
      <alignment vertical="center" wrapText="1"/>
    </xf>
    <xf numFmtId="0" fontId="7" fillId="0" borderId="90" xfId="0" applyFont="1" applyBorder="1" applyAlignment="1" applyProtection="1">
      <alignment horizontal="left" vertical="center"/>
    </xf>
    <xf numFmtId="0" fontId="10" fillId="3" borderId="0" xfId="0" applyFont="1" applyFill="1" applyBorder="1" applyAlignment="1" applyProtection="1">
      <alignment horizontal="center" vertical="center" wrapText="1"/>
    </xf>
    <xf numFmtId="0" fontId="7" fillId="0" borderId="90" xfId="0" applyFont="1" applyBorder="1" applyAlignment="1" applyProtection="1">
      <alignment horizontal="left" vertical="center" wrapText="1"/>
    </xf>
    <xf numFmtId="0" fontId="0" fillId="2" borderId="13" xfId="0" applyFill="1" applyBorder="1" applyProtection="1"/>
    <xf numFmtId="0" fontId="0" fillId="2" borderId="8" xfId="0" applyFill="1" applyBorder="1" applyProtection="1"/>
    <xf numFmtId="0" fontId="0" fillId="0" borderId="8" xfId="0" applyBorder="1" applyProtection="1"/>
    <xf numFmtId="0" fontId="0" fillId="2" borderId="89" xfId="0" applyFill="1" applyBorder="1" applyProtection="1"/>
    <xf numFmtId="0" fontId="0" fillId="2" borderId="12" xfId="0" applyFill="1" applyBorder="1" applyProtection="1"/>
    <xf numFmtId="0" fontId="0" fillId="2" borderId="76" xfId="0" applyFill="1" applyBorder="1" applyProtection="1"/>
    <xf numFmtId="0" fontId="7" fillId="0" borderId="8" xfId="0" applyFont="1" applyFill="1" applyBorder="1"/>
    <xf numFmtId="0" fontId="32" fillId="2" borderId="0" xfId="0" applyFont="1" applyFill="1" applyBorder="1"/>
    <xf numFmtId="0" fontId="7" fillId="2" borderId="0" xfId="0" applyFont="1" applyFill="1" applyBorder="1"/>
    <xf numFmtId="0" fontId="0" fillId="0" borderId="12" xfId="0" applyBorder="1"/>
    <xf numFmtId="0" fontId="7" fillId="0" borderId="0" xfId="0" applyFont="1" applyBorder="1"/>
    <xf numFmtId="0" fontId="22" fillId="8" borderId="12" xfId="0" applyFont="1" applyFill="1" applyBorder="1" applyAlignment="1">
      <alignment vertical="top" wrapText="1"/>
    </xf>
    <xf numFmtId="0" fontId="22" fillId="8" borderId="0" xfId="0" applyFont="1" applyFill="1" applyBorder="1" applyAlignment="1">
      <alignment vertical="top" wrapText="1"/>
    </xf>
    <xf numFmtId="0" fontId="22" fillId="8" borderId="10" xfId="0" applyFont="1" applyFill="1" applyBorder="1" applyAlignment="1">
      <alignment vertical="top" wrapText="1"/>
    </xf>
    <xf numFmtId="0" fontId="22" fillId="8" borderId="12" xfId="0" applyFont="1" applyFill="1" applyBorder="1" applyAlignment="1">
      <alignment horizontal="center" vertical="top" wrapText="1"/>
    </xf>
    <xf numFmtId="0" fontId="22" fillId="8" borderId="0" xfId="0" applyFont="1" applyFill="1" applyBorder="1" applyAlignment="1">
      <alignment horizontal="center" vertical="top" wrapText="1"/>
    </xf>
    <xf numFmtId="0" fontId="22" fillId="8" borderId="10" xfId="0" applyFont="1" applyFill="1" applyBorder="1" applyAlignment="1">
      <alignment horizontal="center" vertical="top" wrapText="1"/>
    </xf>
    <xf numFmtId="0" fontId="22" fillId="8" borderId="13" xfId="0" applyFont="1" applyFill="1" applyBorder="1" applyAlignment="1">
      <alignment horizontal="center" vertical="top" wrapText="1"/>
    </xf>
    <xf numFmtId="0" fontId="22" fillId="8" borderId="8" xfId="0" applyFont="1" applyFill="1" applyBorder="1" applyAlignment="1">
      <alignment horizontal="center" vertical="top" wrapText="1"/>
    </xf>
    <xf numFmtId="0" fontId="22" fillId="8" borderId="25" xfId="0" applyFont="1" applyFill="1" applyBorder="1" applyAlignment="1">
      <alignment horizontal="center" vertical="top" wrapText="1"/>
    </xf>
    <xf numFmtId="0" fontId="36" fillId="8" borderId="12" xfId="0" applyFont="1" applyFill="1" applyBorder="1" applyAlignment="1">
      <alignment vertical="top" wrapText="1"/>
    </xf>
    <xf numFmtId="0" fontId="36" fillId="8" borderId="0" xfId="0" applyFont="1" applyFill="1" applyBorder="1" applyAlignment="1">
      <alignment vertical="top" wrapText="1"/>
    </xf>
    <xf numFmtId="0" fontId="36" fillId="8" borderId="10" xfId="0" applyFont="1" applyFill="1" applyBorder="1" applyAlignment="1">
      <alignment vertical="top" wrapText="1"/>
    </xf>
    <xf numFmtId="0" fontId="32" fillId="8" borderId="12" xfId="0" applyFont="1" applyFill="1" applyBorder="1"/>
    <xf numFmtId="0" fontId="32" fillId="8" borderId="0" xfId="0" applyFont="1" applyFill="1" applyBorder="1"/>
    <xf numFmtId="0" fontId="32" fillId="8" borderId="10" xfId="0" applyFont="1" applyFill="1" applyBorder="1"/>
    <xf numFmtId="0" fontId="32" fillId="8" borderId="13" xfId="0" applyFont="1" applyFill="1" applyBorder="1"/>
    <xf numFmtId="0" fontId="32" fillId="8" borderId="8" xfId="0" applyFont="1" applyFill="1" applyBorder="1"/>
    <xf numFmtId="0" fontId="32" fillId="8" borderId="25" xfId="0" applyFont="1" applyFill="1" applyBorder="1"/>
    <xf numFmtId="0" fontId="36" fillId="8" borderId="12" xfId="0" applyFont="1" applyFill="1" applyBorder="1" applyAlignment="1">
      <alignment horizontal="center" vertical="top"/>
    </xf>
    <xf numFmtId="0" fontId="36" fillId="8" borderId="0" xfId="0" applyFont="1" applyFill="1" applyBorder="1" applyAlignment="1">
      <alignment horizontal="center" vertical="top"/>
    </xf>
    <xf numFmtId="0" fontId="36" fillId="8" borderId="10" xfId="0" applyFont="1" applyFill="1" applyBorder="1" applyAlignment="1">
      <alignment horizontal="center" vertical="top"/>
    </xf>
    <xf numFmtId="0" fontId="32" fillId="8" borderId="12" xfId="0" applyFont="1" applyFill="1" applyBorder="1" applyAlignment="1">
      <alignment horizontal="center" vertical="top" wrapText="1"/>
    </xf>
    <xf numFmtId="0" fontId="32" fillId="8" borderId="0" xfId="0" applyFont="1" applyFill="1" applyBorder="1" applyAlignment="1">
      <alignment horizontal="center" vertical="top" wrapText="1"/>
    </xf>
    <xf numFmtId="0" fontId="32" fillId="8" borderId="10" xfId="0" applyFont="1" applyFill="1" applyBorder="1" applyAlignment="1">
      <alignment horizontal="center" vertical="top" wrapText="1"/>
    </xf>
    <xf numFmtId="0" fontId="36" fillId="8" borderId="13" xfId="0" applyFont="1" applyFill="1" applyBorder="1" applyAlignment="1">
      <alignment vertical="top" wrapText="1"/>
    </xf>
    <xf numFmtId="0" fontId="36" fillId="8" borderId="8" xfId="0" applyFont="1" applyFill="1" applyBorder="1" applyAlignment="1">
      <alignment vertical="top" wrapText="1"/>
    </xf>
    <xf numFmtId="0" fontId="36" fillId="8" borderId="25" xfId="0" applyFont="1" applyFill="1" applyBorder="1" applyAlignment="1">
      <alignment vertical="top" wrapText="1"/>
    </xf>
    <xf numFmtId="0" fontId="42" fillId="0" borderId="14" xfId="0" applyFont="1" applyFill="1" applyBorder="1" applyAlignment="1" applyProtection="1">
      <alignment horizontal="center" vertical="center" wrapText="1"/>
      <protection locked="0"/>
    </xf>
    <xf numFmtId="0" fontId="42" fillId="0" borderId="14"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wrapText="1"/>
      <protection locked="0"/>
    </xf>
    <xf numFmtId="0" fontId="39" fillId="8" borderId="12" xfId="0" applyFont="1" applyFill="1" applyBorder="1" applyAlignment="1">
      <alignment horizontal="center" vertical="top"/>
    </xf>
    <xf numFmtId="0" fontId="39" fillId="8" borderId="0" xfId="0" applyFont="1" applyFill="1" applyBorder="1" applyAlignment="1">
      <alignment horizontal="center" vertical="top"/>
    </xf>
    <xf numFmtId="0" fontId="39" fillId="8" borderId="10" xfId="0" applyFont="1" applyFill="1" applyBorder="1" applyAlignment="1">
      <alignment horizontal="center" vertical="top"/>
    </xf>
    <xf numFmtId="0" fontId="33" fillId="8" borderId="12" xfId="0" applyFont="1" applyFill="1" applyBorder="1" applyAlignment="1">
      <alignment horizontal="center" vertical="top"/>
    </xf>
    <xf numFmtId="0" fontId="33" fillId="8" borderId="0" xfId="0" applyFont="1" applyFill="1" applyBorder="1" applyAlignment="1">
      <alignment horizontal="center" vertical="top"/>
    </xf>
    <xf numFmtId="0" fontId="33" fillId="8" borderId="10" xfId="0" applyFont="1" applyFill="1" applyBorder="1" applyAlignment="1">
      <alignment horizontal="center" vertical="top"/>
    </xf>
    <xf numFmtId="0" fontId="33" fillId="8" borderId="12" xfId="0" applyFont="1" applyFill="1" applyBorder="1" applyAlignment="1">
      <alignment horizontal="center" vertical="top" wrapText="1"/>
    </xf>
    <xf numFmtId="0" fontId="33" fillId="8" borderId="0" xfId="0" applyFont="1" applyFill="1" applyBorder="1" applyAlignment="1">
      <alignment horizontal="center" vertical="top" wrapText="1"/>
    </xf>
    <xf numFmtId="0" fontId="33" fillId="8" borderId="10" xfId="0" applyFont="1" applyFill="1" applyBorder="1" applyAlignment="1">
      <alignment horizontal="center" vertical="top" wrapText="1"/>
    </xf>
    <xf numFmtId="0" fontId="6" fillId="0" borderId="6" xfId="0" applyFont="1" applyFill="1" applyBorder="1"/>
    <xf numFmtId="0" fontId="6" fillId="0" borderId="6" xfId="0" applyFont="1" applyFill="1" applyBorder="1" applyAlignment="1">
      <alignment wrapText="1"/>
    </xf>
    <xf numFmtId="0" fontId="7" fillId="0" borderId="0" xfId="0" applyFont="1" applyFill="1" applyBorder="1" applyProtection="1"/>
    <xf numFmtId="0" fontId="7" fillId="0" borderId="0" xfId="0" applyFont="1" applyFill="1" applyBorder="1" applyAlignment="1" applyProtection="1"/>
    <xf numFmtId="0" fontId="7" fillId="0" borderId="12" xfId="0" applyFont="1" applyBorder="1"/>
    <xf numFmtId="0" fontId="32" fillId="0" borderId="17" xfId="0" applyFont="1" applyFill="1" applyBorder="1"/>
    <xf numFmtId="0" fontId="7" fillId="0" borderId="10" xfId="0" applyFont="1" applyBorder="1"/>
    <xf numFmtId="0" fontId="22" fillId="8" borderId="12" xfId="0" applyFont="1" applyFill="1" applyBorder="1" applyAlignment="1" applyProtection="1">
      <alignment vertical="top" wrapText="1"/>
    </xf>
    <xf numFmtId="0" fontId="22" fillId="8" borderId="0" xfId="0" applyFont="1" applyFill="1" applyBorder="1" applyAlignment="1" applyProtection="1">
      <alignment vertical="top" wrapText="1"/>
    </xf>
    <xf numFmtId="0" fontId="22" fillId="8" borderId="10" xfId="0" applyFont="1" applyFill="1" applyBorder="1" applyAlignment="1" applyProtection="1">
      <alignment vertical="top" wrapText="1"/>
    </xf>
    <xf numFmtId="0" fontId="32" fillId="2" borderId="0" xfId="0" applyFont="1" applyFill="1" applyBorder="1" applyProtection="1"/>
    <xf numFmtId="0" fontId="32" fillId="2" borderId="0" xfId="0" applyFont="1" applyFill="1" applyBorder="1" applyAlignment="1" applyProtection="1">
      <alignment horizontal="center"/>
    </xf>
    <xf numFmtId="0" fontId="25" fillId="0" borderId="0" xfId="0" applyFont="1" applyBorder="1" applyAlignment="1" applyProtection="1">
      <alignment wrapText="1"/>
    </xf>
    <xf numFmtId="0" fontId="6" fillId="0" borderId="8" xfId="0" applyFont="1" applyBorder="1" applyProtection="1"/>
    <xf numFmtId="0" fontId="25" fillId="0" borderId="8" xfId="0" applyFont="1" applyBorder="1" applyAlignment="1" applyProtection="1">
      <alignment wrapText="1"/>
    </xf>
    <xf numFmtId="0" fontId="6" fillId="0" borderId="2" xfId="0" applyFont="1" applyBorder="1" applyAlignment="1" applyProtection="1">
      <alignment vertical="top"/>
    </xf>
    <xf numFmtId="0" fontId="6" fillId="0" borderId="0" xfId="0" applyFont="1" applyBorder="1" applyAlignment="1" applyProtection="1">
      <alignment vertical="top"/>
    </xf>
    <xf numFmtId="0" fontId="6" fillId="0" borderId="3" xfId="0" applyFont="1" applyBorder="1" applyAlignment="1" applyProtection="1">
      <alignment vertical="top"/>
    </xf>
    <xf numFmtId="0" fontId="0" fillId="0" borderId="16" xfId="0" applyBorder="1" applyProtection="1"/>
    <xf numFmtId="0" fontId="0" fillId="2" borderId="91"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88" xfId="0" applyFill="1" applyBorder="1" applyAlignment="1" applyProtection="1">
      <alignment vertical="center"/>
      <protection locked="0"/>
    </xf>
    <xf numFmtId="0" fontId="0" fillId="2" borderId="97" xfId="0" applyFill="1" applyBorder="1" applyAlignment="1" applyProtection="1">
      <alignment vertical="center"/>
      <protection locked="0"/>
    </xf>
    <xf numFmtId="0" fontId="6" fillId="0" borderId="0" xfId="0" quotePrefix="1" applyFont="1" applyBorder="1" applyAlignment="1">
      <alignment wrapText="1"/>
    </xf>
    <xf numFmtId="0" fontId="23"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0" fillId="0" borderId="0" xfId="0" applyBorder="1" applyAlignment="1">
      <alignment vertical="top"/>
    </xf>
    <xf numFmtId="0" fontId="0" fillId="0" borderId="0" xfId="0" applyFill="1" applyBorder="1" applyAlignment="1">
      <alignment vertical="top" wrapText="1"/>
    </xf>
    <xf numFmtId="0" fontId="0" fillId="0" borderId="0" xfId="0" applyFill="1" applyBorder="1" applyAlignment="1">
      <alignment vertical="top"/>
    </xf>
    <xf numFmtId="0" fontId="6" fillId="0" borderId="0" xfId="0" applyFont="1" applyFill="1" applyBorder="1" applyAlignment="1">
      <alignment vertical="top" wrapText="1"/>
    </xf>
    <xf numFmtId="0" fontId="0" fillId="0" borderId="0" xfId="0" applyProtection="1">
      <protection locked="0"/>
    </xf>
    <xf numFmtId="0" fontId="0" fillId="0" borderId="0" xfId="0" applyAlignment="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6" fillId="0" borderId="11" xfId="0" applyFont="1" applyBorder="1" applyAlignment="1" applyProtection="1">
      <alignment horizontal="left" vertical="center"/>
    </xf>
    <xf numFmtId="49" fontId="10" fillId="2" borderId="18" xfId="0" applyNumberFormat="1"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protection locked="0"/>
    </xf>
    <xf numFmtId="0" fontId="41" fillId="2" borderId="18" xfId="0" applyFont="1" applyFill="1" applyBorder="1" applyAlignment="1" applyProtection="1">
      <alignment horizontal="center" vertical="center"/>
      <protection locked="0"/>
    </xf>
    <xf numFmtId="0" fontId="0" fillId="0" borderId="0" xfId="0" applyAlignment="1" applyProtection="1">
      <alignment horizontal="center"/>
    </xf>
    <xf numFmtId="49" fontId="6" fillId="0" borderId="12"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38" fillId="0" borderId="0" xfId="0" applyNumberFormat="1" applyFont="1" applyBorder="1" applyAlignment="1" applyProtection="1">
      <alignment horizontal="center" vertical="center"/>
    </xf>
    <xf numFmtId="0" fontId="7" fillId="0" borderId="3" xfId="0" applyFont="1" applyBorder="1" applyProtection="1"/>
    <xf numFmtId="49" fontId="38" fillId="0" borderId="0" xfId="0" applyNumberFormat="1" applyFont="1" applyFill="1" applyBorder="1" applyAlignment="1" applyProtection="1">
      <alignment vertical="center" wrapText="1"/>
    </xf>
    <xf numFmtId="49" fontId="38" fillId="0" borderId="10" xfId="0" applyNumberFormat="1" applyFont="1" applyFill="1" applyBorder="1" applyAlignment="1" applyProtection="1">
      <alignment vertical="center" wrapText="1"/>
    </xf>
    <xf numFmtId="165" fontId="38" fillId="0" borderId="1" xfId="0" applyNumberFormat="1" applyFont="1" applyBorder="1" applyAlignment="1" applyProtection="1">
      <alignment vertical="top" wrapText="1"/>
    </xf>
    <xf numFmtId="0" fontId="7" fillId="0" borderId="1" xfId="0" applyFont="1" applyBorder="1" applyProtection="1"/>
    <xf numFmtId="0" fontId="1" fillId="0" borderId="12" xfId="0" applyFont="1" applyBorder="1" applyAlignment="1" applyProtection="1">
      <alignment vertical="center"/>
    </xf>
    <xf numFmtId="0" fontId="7" fillId="0" borderId="6" xfId="0" applyFont="1" applyBorder="1" applyProtection="1"/>
    <xf numFmtId="165" fontId="38" fillId="0" borderId="0" xfId="0" applyNumberFormat="1" applyFont="1" applyBorder="1" applyAlignment="1" applyProtection="1">
      <alignment horizontal="center" vertical="center"/>
    </xf>
    <xf numFmtId="165" fontId="38" fillId="0" borderId="0" xfId="0" applyNumberFormat="1" applyFont="1" applyBorder="1" applyAlignment="1" applyProtection="1">
      <alignment vertical="top" wrapText="1"/>
    </xf>
    <xf numFmtId="165" fontId="38" fillId="0" borderId="0" xfId="0" applyNumberFormat="1" applyFont="1" applyBorder="1" applyAlignment="1" applyProtection="1">
      <alignment wrapText="1"/>
    </xf>
    <xf numFmtId="0" fontId="0" fillId="0" borderId="0" xfId="0" applyBorder="1" applyAlignment="1" applyProtection="1"/>
    <xf numFmtId="0" fontId="6" fillId="0" borderId="12" xfId="0" applyFont="1" applyBorder="1" applyAlignment="1" applyProtection="1">
      <alignment vertical="center"/>
    </xf>
    <xf numFmtId="49" fontId="38" fillId="0" borderId="0" xfId="0" applyNumberFormat="1" applyFont="1" applyBorder="1" applyAlignment="1" applyProtection="1">
      <alignment horizontal="left" vertical="center"/>
    </xf>
    <xf numFmtId="0" fontId="44" fillId="0" borderId="0" xfId="0" applyFont="1" applyBorder="1" applyAlignment="1" applyProtection="1"/>
    <xf numFmtId="0" fontId="38" fillId="0" borderId="0" xfId="0" applyFont="1" applyBorder="1" applyAlignment="1" applyProtection="1"/>
    <xf numFmtId="166" fontId="24" fillId="0" borderId="0" xfId="0" applyNumberFormat="1" applyFont="1" applyFill="1" applyBorder="1" applyAlignment="1" applyProtection="1"/>
    <xf numFmtId="168" fontId="2" fillId="0" borderId="0" xfId="0" applyNumberFormat="1" applyFont="1" applyBorder="1" applyAlignment="1" applyProtection="1">
      <alignment vertical="center"/>
    </xf>
    <xf numFmtId="165" fontId="38" fillId="0" borderId="1" xfId="0" applyNumberFormat="1" applyFont="1" applyBorder="1" applyAlignment="1" applyProtection="1">
      <alignment horizontal="center" vertical="center"/>
    </xf>
    <xf numFmtId="165" fontId="38" fillId="0" borderId="1" xfId="0" applyNumberFormat="1" applyFont="1" applyBorder="1" applyAlignment="1" applyProtection="1">
      <alignment wrapText="1"/>
    </xf>
    <xf numFmtId="165" fontId="38" fillId="0" borderId="1" xfId="0" applyNumberFormat="1" applyFont="1" applyBorder="1" applyAlignment="1" applyProtection="1">
      <alignment horizontal="left" wrapText="1"/>
    </xf>
    <xf numFmtId="0" fontId="1" fillId="0" borderId="0" xfId="0" applyFont="1" applyBorder="1" applyAlignment="1" applyProtection="1">
      <alignment vertical="center"/>
    </xf>
    <xf numFmtId="0" fontId="45" fillId="0" borderId="12" xfId="0" applyFont="1" applyBorder="1" applyAlignment="1" applyProtection="1">
      <alignment vertical="center"/>
    </xf>
    <xf numFmtId="0" fontId="38" fillId="0" borderId="0" xfId="0" applyFont="1" applyBorder="1" applyAlignment="1" applyProtection="1">
      <alignment vertical="center"/>
    </xf>
    <xf numFmtId="165" fontId="38" fillId="0" borderId="6" xfId="0" applyNumberFormat="1" applyFont="1" applyBorder="1" applyAlignment="1" applyProtection="1">
      <alignment horizontal="left" wrapText="1"/>
    </xf>
    <xf numFmtId="0" fontId="38" fillId="0" borderId="1" xfId="0" applyFont="1" applyBorder="1" applyAlignment="1" applyProtection="1">
      <alignment vertical="center"/>
    </xf>
    <xf numFmtId="0" fontId="38" fillId="0" borderId="6" xfId="0" applyFont="1" applyBorder="1" applyAlignment="1" applyProtection="1">
      <alignment vertical="center"/>
    </xf>
    <xf numFmtId="165" fontId="24" fillId="0" borderId="0" xfId="0" applyNumberFormat="1" applyFont="1" applyBorder="1" applyAlignment="1" applyProtection="1">
      <alignment horizontal="left" vertical="top" wrapText="1"/>
    </xf>
    <xf numFmtId="0" fontId="38" fillId="0" borderId="0" xfId="0" applyFont="1" applyBorder="1" applyAlignment="1" applyProtection="1">
      <alignment horizontal="center" vertical="center"/>
    </xf>
    <xf numFmtId="49" fontId="38" fillId="0" borderId="0" xfId="0" applyNumberFormat="1" applyFont="1" applyFill="1" applyBorder="1" applyAlignment="1" applyProtection="1">
      <alignment horizontal="left" vertical="center" wrapText="1"/>
    </xf>
    <xf numFmtId="0" fontId="46" fillId="0" borderId="0" xfId="0" applyFont="1" applyFill="1" applyBorder="1" applyAlignment="1" applyProtection="1">
      <alignment vertical="top"/>
    </xf>
    <xf numFmtId="0" fontId="46" fillId="0" borderId="10" xfId="0" applyFont="1" applyFill="1" applyBorder="1" applyAlignment="1" applyProtection="1">
      <alignment vertical="top"/>
    </xf>
    <xf numFmtId="0" fontId="47" fillId="0" borderId="12" xfId="0" applyFont="1" applyFill="1" applyBorder="1" applyAlignment="1" applyProtection="1">
      <alignment vertical="center"/>
    </xf>
    <xf numFmtId="0" fontId="6" fillId="0" borderId="0" xfId="0" applyFont="1" applyBorder="1" applyAlignment="1" applyProtection="1">
      <alignment horizontal="left" vertical="center" wrapText="1"/>
    </xf>
    <xf numFmtId="0" fontId="48" fillId="0" borderId="0" xfId="0" applyFont="1" applyFill="1" applyBorder="1" applyAlignment="1" applyProtection="1">
      <alignment vertical="top"/>
    </xf>
    <xf numFmtId="0" fontId="28" fillId="0" borderId="0" xfId="0" applyFont="1" applyFill="1" applyBorder="1" applyAlignment="1" applyProtection="1">
      <alignment vertical="center"/>
    </xf>
    <xf numFmtId="0" fontId="7" fillId="0" borderId="10" xfId="0" applyFont="1" applyBorder="1" applyProtection="1"/>
    <xf numFmtId="0" fontId="24" fillId="0" borderId="12" xfId="0" applyFont="1" applyFill="1" applyBorder="1" applyAlignment="1" applyProtection="1">
      <alignment vertical="center"/>
    </xf>
    <xf numFmtId="0" fontId="28" fillId="0" borderId="0" xfId="0" applyFont="1" applyFill="1" applyBorder="1" applyAlignment="1" applyProtection="1">
      <alignment vertical="top"/>
    </xf>
    <xf numFmtId="0" fontId="49" fillId="0" borderId="12" xfId="0" applyFont="1" applyFill="1" applyBorder="1" applyAlignment="1" applyProtection="1">
      <alignment vertical="center"/>
    </xf>
    <xf numFmtId="0" fontId="24" fillId="0" borderId="0" xfId="0" applyFont="1" applyBorder="1" applyAlignment="1" applyProtection="1">
      <alignment horizontal="center" wrapText="1"/>
    </xf>
    <xf numFmtId="0" fontId="38" fillId="0" borderId="0" xfId="0" quotePrefix="1" applyFont="1" applyBorder="1" applyAlignment="1" applyProtection="1">
      <alignment horizontal="center" vertical="center"/>
    </xf>
    <xf numFmtId="0" fontId="1" fillId="0" borderId="0" xfId="0" applyFont="1" applyBorder="1" applyAlignment="1" applyProtection="1">
      <alignment vertical="center" wrapText="1"/>
    </xf>
    <xf numFmtId="0" fontId="1" fillId="0" borderId="0" xfId="0" applyFont="1" applyBorder="1" applyAlignment="1" applyProtection="1">
      <alignment horizontal="center" vertical="center"/>
    </xf>
    <xf numFmtId="0" fontId="24" fillId="0" borderId="0" xfId="0" applyFont="1" applyBorder="1" applyAlignment="1" applyProtection="1">
      <alignment horizontal="center" vertical="center" wrapText="1"/>
    </xf>
    <xf numFmtId="0" fontId="24" fillId="0" borderId="0" xfId="0" applyFont="1" applyBorder="1" applyAlignment="1" applyProtection="1">
      <alignment vertical="center"/>
    </xf>
    <xf numFmtId="0" fontId="28" fillId="0" borderId="0" xfId="0" applyFont="1" applyFill="1" applyBorder="1" applyAlignment="1" applyProtection="1"/>
    <xf numFmtId="0" fontId="7" fillId="0" borderId="6" xfId="0" applyFont="1" applyBorder="1" applyAlignment="1" applyProtection="1"/>
    <xf numFmtId="0" fontId="7" fillId="0" borderId="94" xfId="0" applyFont="1" applyBorder="1" applyProtection="1"/>
    <xf numFmtId="0" fontId="0" fillId="0" borderId="12" xfId="0" applyFill="1" applyBorder="1" applyAlignment="1" applyProtection="1">
      <alignment vertical="center"/>
    </xf>
    <xf numFmtId="0" fontId="24" fillId="0" borderId="0" xfId="0" applyFont="1" applyBorder="1" applyAlignment="1" applyProtection="1">
      <alignment horizontal="right" vertical="center"/>
    </xf>
    <xf numFmtId="170" fontId="24" fillId="0" borderId="0" xfId="0" quotePrefix="1" applyNumberFormat="1" applyFont="1" applyBorder="1" applyAlignment="1" applyProtection="1">
      <alignment horizontal="center" vertical="center"/>
    </xf>
    <xf numFmtId="0" fontId="24" fillId="0" borderId="0" xfId="0" quotePrefix="1" applyFont="1" applyBorder="1" applyAlignment="1" applyProtection="1">
      <alignment horizontal="center" vertical="center"/>
    </xf>
    <xf numFmtId="164" fontId="38" fillId="0" borderId="6" xfId="0" applyNumberFormat="1" applyFont="1" applyBorder="1" applyAlignment="1" applyProtection="1">
      <alignment vertical="center"/>
    </xf>
    <xf numFmtId="3" fontId="38" fillId="0" borderId="6" xfId="0" applyNumberFormat="1" applyFont="1" applyBorder="1" applyAlignment="1" applyProtection="1">
      <alignment vertical="center"/>
    </xf>
    <xf numFmtId="14" fontId="38" fillId="0" borderId="6" xfId="0" applyNumberFormat="1" applyFont="1" applyBorder="1" applyAlignment="1" applyProtection="1">
      <alignment horizontal="center" vertical="center"/>
    </xf>
    <xf numFmtId="0" fontId="38" fillId="0" borderId="6" xfId="0" applyFont="1" applyBorder="1" applyAlignment="1" applyProtection="1">
      <alignment horizontal="center" vertical="center"/>
    </xf>
    <xf numFmtId="0" fontId="22" fillId="0" borderId="12" xfId="0" applyFont="1" applyBorder="1" applyProtection="1"/>
    <xf numFmtId="0" fontId="22" fillId="0" borderId="0" xfId="0" applyFont="1" applyBorder="1" applyProtection="1"/>
    <xf numFmtId="0" fontId="22" fillId="0" borderId="0" xfId="0" applyFont="1" applyBorder="1" applyAlignment="1" applyProtection="1"/>
    <xf numFmtId="0" fontId="22" fillId="0" borderId="10" xfId="0" applyFont="1" applyBorder="1" applyProtection="1"/>
    <xf numFmtId="0" fontId="38" fillId="0" borderId="0" xfId="0" applyFont="1" applyBorder="1" applyAlignment="1" applyProtection="1">
      <alignment horizontal="right" vertical="center" wrapText="1"/>
    </xf>
    <xf numFmtId="164" fontId="24" fillId="0" borderId="0" xfId="0" applyNumberFormat="1" applyFont="1" applyBorder="1" applyAlignment="1" applyProtection="1">
      <alignment horizontal="center" vertical="center"/>
    </xf>
    <xf numFmtId="164" fontId="24" fillId="0" borderId="0" xfId="0" applyNumberFormat="1" applyFont="1" applyBorder="1" applyAlignment="1" applyProtection="1">
      <alignment vertical="center"/>
    </xf>
    <xf numFmtId="0" fontId="24" fillId="0" borderId="0" xfId="0" applyFont="1" applyBorder="1" applyAlignment="1" applyProtection="1">
      <alignment horizontal="left" wrapText="1"/>
    </xf>
    <xf numFmtId="167" fontId="24" fillId="0" borderId="0" xfId="0" applyNumberFormat="1" applyFont="1" applyBorder="1" applyAlignment="1" applyProtection="1">
      <alignment horizontal="center" wrapText="1"/>
    </xf>
    <xf numFmtId="167" fontId="24" fillId="0" borderId="0" xfId="0" applyNumberFormat="1" applyFont="1" applyBorder="1" applyAlignment="1" applyProtection="1">
      <alignment horizontal="center" vertical="center" wrapText="1"/>
    </xf>
    <xf numFmtId="0" fontId="24" fillId="0" borderId="6" xfId="0" applyFont="1" applyBorder="1" applyAlignment="1" applyProtection="1">
      <alignment vertical="center"/>
    </xf>
    <xf numFmtId="0" fontId="51" fillId="0" borderId="0" xfId="0" applyFont="1" applyFill="1" applyBorder="1" applyAlignment="1" applyProtection="1">
      <alignment vertical="center"/>
    </xf>
    <xf numFmtId="164" fontId="2" fillId="0" borderId="0" xfId="0" applyNumberFormat="1" applyFont="1" applyFill="1" applyBorder="1" applyAlignment="1" applyProtection="1">
      <alignment vertical="center"/>
    </xf>
    <xf numFmtId="164" fontId="2" fillId="0" borderId="10" xfId="0" applyNumberFormat="1" applyFont="1" applyFill="1" applyBorder="1" applyAlignment="1" applyProtection="1">
      <alignment vertical="center"/>
    </xf>
    <xf numFmtId="0" fontId="12" fillId="0" borderId="0" xfId="0" applyFont="1" applyFill="1" applyBorder="1" applyAlignment="1" applyProtection="1">
      <alignment vertical="center"/>
    </xf>
    <xf numFmtId="0" fontId="38" fillId="0" borderId="0" xfId="0" applyFont="1" applyFill="1" applyBorder="1" applyAlignment="1" applyProtection="1"/>
    <xf numFmtId="0" fontId="22" fillId="0" borderId="0" xfId="0" applyFont="1" applyFill="1" applyBorder="1" applyProtection="1"/>
    <xf numFmtId="0" fontId="22" fillId="0" borderId="0" xfId="0" applyFont="1" applyFill="1" applyBorder="1" applyAlignment="1" applyProtection="1"/>
    <xf numFmtId="167" fontId="38" fillId="0" borderId="0" xfId="0" applyNumberFormat="1" applyFont="1" applyFill="1" applyBorder="1" applyAlignment="1" applyProtection="1">
      <alignment wrapText="1"/>
    </xf>
    <xf numFmtId="0" fontId="24" fillId="0" borderId="0" xfId="0" applyFont="1" applyFill="1" applyBorder="1" applyAlignment="1" applyProtection="1"/>
    <xf numFmtId="0" fontId="50" fillId="0" borderId="0" xfId="0" applyFont="1" applyFill="1" applyBorder="1" applyAlignment="1" applyProtection="1">
      <alignment vertical="top" wrapText="1"/>
    </xf>
    <xf numFmtId="0" fontId="24" fillId="0" borderId="0" xfId="0" applyFont="1" applyFill="1" applyBorder="1" applyAlignment="1" applyProtection="1">
      <alignment vertical="center" wrapText="1"/>
    </xf>
    <xf numFmtId="0" fontId="22" fillId="0" borderId="10" xfId="0" applyFont="1" applyBorder="1" applyAlignment="1" applyProtection="1"/>
    <xf numFmtId="0" fontId="24" fillId="0" borderId="10" xfId="0" applyFont="1" applyBorder="1" applyAlignment="1" applyProtection="1"/>
    <xf numFmtId="165" fontId="38" fillId="0" borderId="0" xfId="0" applyNumberFormat="1" applyFont="1" applyBorder="1" applyAlignment="1" applyProtection="1">
      <alignment vertical="center" wrapText="1"/>
    </xf>
    <xf numFmtId="165" fontId="38" fillId="0" borderId="1" xfId="0" applyNumberFormat="1" applyFont="1" applyBorder="1" applyAlignment="1" applyProtection="1">
      <alignment vertical="center" wrapText="1"/>
    </xf>
    <xf numFmtId="49" fontId="38" fillId="0" borderId="1" xfId="0" applyNumberFormat="1" applyFont="1" applyBorder="1" applyAlignment="1" applyProtection="1">
      <alignment horizontal="left" vertical="center"/>
    </xf>
    <xf numFmtId="0" fontId="0" fillId="0" borderId="1" xfId="0" applyBorder="1" applyProtection="1"/>
    <xf numFmtId="49" fontId="38" fillId="0" borderId="1" xfId="0" applyNumberFormat="1" applyFont="1" applyBorder="1" applyAlignment="1" applyProtection="1">
      <alignment horizontal="center" vertical="center"/>
    </xf>
    <xf numFmtId="1" fontId="24" fillId="0" borderId="6" xfId="0" applyNumberFormat="1" applyFont="1" applyFill="1" applyBorder="1" applyAlignment="1" applyProtection="1">
      <alignment horizontal="center"/>
    </xf>
    <xf numFmtId="165" fontId="38" fillId="0" borderId="0" xfId="0" applyNumberFormat="1" applyFont="1" applyFill="1" applyBorder="1" applyAlignment="1" applyProtection="1">
      <alignment wrapText="1"/>
    </xf>
    <xf numFmtId="0" fontId="6" fillId="0" borderId="11" xfId="0" applyFont="1" applyBorder="1" applyAlignment="1" applyProtection="1">
      <alignment horizontal="left" vertical="center"/>
    </xf>
    <xf numFmtId="0" fontId="5" fillId="0" borderId="13"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24" fillId="0" borderId="0" xfId="0" applyFont="1" applyBorder="1" applyAlignment="1" applyProtection="1">
      <alignment horizontal="left"/>
    </xf>
    <xf numFmtId="0" fontId="38" fillId="0" borderId="0" xfId="0" applyFont="1" applyBorder="1" applyAlignment="1" applyProtection="1">
      <alignment horizontal="left" vertical="center" wrapText="1"/>
    </xf>
    <xf numFmtId="0" fontId="24" fillId="0" borderId="0" xfId="0" applyFont="1" applyBorder="1" applyAlignment="1" applyProtection="1">
      <alignment vertical="center" wrapText="1"/>
    </xf>
    <xf numFmtId="0" fontId="24" fillId="0" borderId="0" xfId="0" applyFont="1" applyBorder="1" applyAlignment="1" applyProtection="1">
      <alignment horizontal="left" vertical="center" wrapText="1"/>
    </xf>
    <xf numFmtId="0" fontId="7" fillId="0" borderId="0" xfId="0" applyFont="1" applyBorder="1" applyAlignment="1" applyProtection="1">
      <alignment horizontal="left"/>
    </xf>
    <xf numFmtId="0" fontId="24" fillId="0" borderId="0" xfId="0" applyFont="1" applyBorder="1" applyAlignment="1" applyProtection="1"/>
    <xf numFmtId="0" fontId="0" fillId="0" borderId="0" xfId="0" quotePrefix="1" applyFill="1" applyBorder="1" applyAlignment="1">
      <alignment vertical="top" wrapText="1"/>
    </xf>
    <xf numFmtId="0" fontId="0" fillId="0" borderId="0" xfId="0" quotePrefix="1" applyFill="1" applyBorder="1" applyAlignment="1">
      <alignment vertical="center" wrapText="1"/>
    </xf>
    <xf numFmtId="0" fontId="6" fillId="0" borderId="6" xfId="0" applyFont="1" applyBorder="1"/>
    <xf numFmtId="0" fontId="6" fillId="0" borderId="0" xfId="0" applyFont="1" applyAlignment="1">
      <alignment vertical="center" wrapText="1"/>
    </xf>
    <xf numFmtId="0" fontId="1" fillId="0" borderId="0" xfId="0" applyFont="1" applyBorder="1" applyAlignment="1">
      <alignment horizontal="left"/>
    </xf>
    <xf numFmtId="0" fontId="1" fillId="0" borderId="6" xfId="0" applyFont="1" applyBorder="1" applyAlignment="1">
      <alignment horizontal="right"/>
    </xf>
    <xf numFmtId="0" fontId="2" fillId="0" borderId="0" xfId="0" applyFont="1" applyBorder="1" applyAlignment="1">
      <alignment horizontal="left"/>
    </xf>
    <xf numFmtId="0" fontId="1" fillId="0" borderId="0" xfId="0" applyFont="1" applyBorder="1" applyAlignment="1">
      <alignment horizontal="right"/>
    </xf>
    <xf numFmtId="0" fontId="9"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xf numFmtId="0" fontId="1" fillId="0" borderId="0" xfId="0" applyFont="1" applyBorder="1" applyAlignment="1">
      <alignment horizontal="right" wrapText="1"/>
    </xf>
    <xf numFmtId="0" fontId="1" fillId="0" borderId="0" xfId="0" applyFont="1" applyBorder="1" applyAlignment="1">
      <alignment horizontal="right" vertical="top" wrapText="1"/>
    </xf>
    <xf numFmtId="3" fontId="24" fillId="0" borderId="0" xfId="0" applyNumberFormat="1" applyFont="1" applyFill="1" applyBorder="1" applyAlignment="1" applyProtection="1">
      <alignment horizontal="center"/>
    </xf>
    <xf numFmtId="1"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center"/>
    </xf>
    <xf numFmtId="1" fontId="24" fillId="0" borderId="0" xfId="0" applyNumberFormat="1" applyFont="1" applyFill="1" applyBorder="1" applyAlignment="1" applyProtection="1">
      <alignment horizontal="center" wrapText="1"/>
    </xf>
    <xf numFmtId="169" fontId="24" fillId="0" borderId="0" xfId="0" quotePrefix="1" applyNumberFormat="1" applyFont="1" applyFill="1" applyBorder="1" applyAlignment="1" applyProtection="1">
      <alignment horizontal="center"/>
    </xf>
    <xf numFmtId="0" fontId="7" fillId="0" borderId="25" xfId="0" applyFont="1" applyBorder="1"/>
    <xf numFmtId="0" fontId="0" fillId="0" borderId="13" xfId="0" applyBorder="1"/>
    <xf numFmtId="0" fontId="7" fillId="0" borderId="8" xfId="0" applyFont="1" applyBorder="1"/>
    <xf numFmtId="0" fontId="0" fillId="0" borderId="25" xfId="0" applyBorder="1"/>
    <xf numFmtId="0" fontId="0" fillId="0" borderId="13" xfId="0" applyBorder="1" applyProtection="1"/>
    <xf numFmtId="0" fontId="0" fillId="0" borderId="25" xfId="0" applyBorder="1" applyProtection="1"/>
    <xf numFmtId="0" fontId="0" fillId="0" borderId="45" xfId="0" applyBorder="1" applyProtection="1"/>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14" fontId="10" fillId="0" borderId="13" xfId="0" applyNumberFormat="1" applyFont="1" applyFill="1" applyBorder="1" applyAlignment="1" applyProtection="1">
      <alignment horizontal="center"/>
      <protection locked="0"/>
    </xf>
    <xf numFmtId="14" fontId="10" fillId="0" borderId="8" xfId="0" applyNumberFormat="1" applyFont="1" applyFill="1" applyBorder="1" applyAlignment="1" applyProtection="1">
      <alignment horizontal="center"/>
      <protection locked="0"/>
    </xf>
    <xf numFmtId="14" fontId="10" fillId="0" borderId="25" xfId="0" applyNumberFormat="1" applyFont="1" applyFill="1" applyBorder="1" applyAlignment="1" applyProtection="1">
      <alignment horizontal="center"/>
      <protection locked="0"/>
    </xf>
    <xf numFmtId="0" fontId="5" fillId="0" borderId="13"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5" fillId="0" borderId="25" xfId="0" applyFont="1" applyFill="1" applyBorder="1" applyAlignment="1" applyProtection="1">
      <alignment horizontal="left" vertical="top" wrapText="1"/>
    </xf>
    <xf numFmtId="14" fontId="10" fillId="0" borderId="8" xfId="0" applyNumberFormat="1" applyFont="1" applyFill="1" applyBorder="1" applyAlignment="1" applyProtection="1">
      <alignment horizontal="center"/>
    </xf>
    <xf numFmtId="14" fontId="10" fillId="0" borderId="25" xfId="0" applyNumberFormat="1" applyFont="1" applyFill="1" applyBorder="1" applyAlignment="1" applyProtection="1">
      <alignment horizontal="center"/>
    </xf>
    <xf numFmtId="0" fontId="40" fillId="0" borderId="0" xfId="0" applyFont="1" applyBorder="1" applyAlignment="1"/>
    <xf numFmtId="0" fontId="0" fillId="0" borderId="11" xfId="0" applyBorder="1"/>
    <xf numFmtId="0" fontId="6" fillId="0" borderId="7" xfId="0" applyFont="1" applyBorder="1" applyAlignment="1"/>
    <xf numFmtId="0" fontId="6" fillId="0" borderId="9" xfId="0" applyFont="1" applyBorder="1" applyAlignment="1"/>
    <xf numFmtId="0" fontId="1" fillId="0" borderId="10" xfId="0" applyFont="1" applyBorder="1" applyAlignment="1"/>
    <xf numFmtId="0" fontId="0" fillId="0" borderId="10" xfId="0" applyBorder="1"/>
    <xf numFmtId="0" fontId="1" fillId="0" borderId="10" xfId="0" applyFont="1" applyBorder="1" applyAlignment="1" applyProtection="1"/>
    <xf numFmtId="0" fontId="1" fillId="0" borderId="10" xfId="0" applyFont="1" applyBorder="1" applyAlignment="1">
      <alignment horizontal="left"/>
    </xf>
    <xf numFmtId="0" fontId="5" fillId="0" borderId="10" xfId="0" applyFont="1" applyBorder="1" applyAlignment="1">
      <alignment horizontal="left"/>
    </xf>
    <xf numFmtId="0" fontId="6" fillId="0" borderId="10" xfId="0" applyFont="1" applyBorder="1" applyAlignment="1"/>
    <xf numFmtId="0" fontId="0" fillId="0" borderId="12" xfId="0" applyBorder="1" applyProtection="1"/>
    <xf numFmtId="0" fontId="6" fillId="0" borderId="10" xfId="0" applyFont="1" applyBorder="1" applyAlignment="1" applyProtection="1"/>
    <xf numFmtId="0" fontId="0" fillId="0" borderId="78" xfId="0" applyBorder="1"/>
    <xf numFmtId="0" fontId="6" fillId="0" borderId="87" xfId="0" applyFont="1" applyBorder="1" applyAlignment="1"/>
    <xf numFmtId="0" fontId="1" fillId="0" borderId="10" xfId="0" applyFont="1" applyBorder="1" applyAlignment="1">
      <alignment horizontal="center"/>
    </xf>
    <xf numFmtId="0" fontId="6" fillId="0" borderId="8" xfId="0" applyFont="1" applyBorder="1" applyAlignment="1"/>
    <xf numFmtId="0" fontId="1" fillId="0" borderId="8" xfId="0" applyFont="1" applyBorder="1" applyAlignment="1"/>
    <xf numFmtId="0" fontId="6" fillId="0" borderId="25" xfId="0" applyFont="1" applyBorder="1" applyAlignment="1"/>
    <xf numFmtId="0" fontId="26" fillId="2" borderId="77" xfId="0" applyFont="1" applyFill="1" applyBorder="1" applyAlignment="1" applyProtection="1">
      <alignment horizontal="center" vertical="center" wrapText="1"/>
      <protection locked="0"/>
    </xf>
    <xf numFmtId="0" fontId="26" fillId="2" borderId="62" xfId="0" applyFont="1" applyFill="1" applyBorder="1" applyAlignment="1" applyProtection="1">
      <alignment horizontal="center" vertical="center" wrapText="1"/>
      <protection locked="0"/>
    </xf>
    <xf numFmtId="0" fontId="52" fillId="0" borderId="0" xfId="0" applyFont="1" applyAlignment="1">
      <alignment wrapText="1"/>
    </xf>
    <xf numFmtId="0" fontId="27" fillId="0" borderId="11"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25" xfId="0" applyFont="1" applyBorder="1" applyAlignment="1">
      <alignment horizontal="center" vertical="center"/>
    </xf>
    <xf numFmtId="0" fontId="25" fillId="0" borderId="11" xfId="0" applyFont="1" applyBorder="1" applyAlignment="1">
      <alignment horizontal="left" vertical="top" wrapText="1"/>
    </xf>
    <xf numFmtId="0" fontId="25" fillId="0" borderId="7" xfId="0" applyFont="1" applyBorder="1" applyAlignment="1">
      <alignment horizontal="left" vertical="top" wrapText="1"/>
    </xf>
    <xf numFmtId="0" fontId="25" fillId="0" borderId="9" xfId="0" applyFont="1" applyBorder="1" applyAlignment="1">
      <alignment horizontal="left" vertical="top" wrapText="1"/>
    </xf>
    <xf numFmtId="0" fontId="25" fillId="0" borderId="12" xfId="0" applyFont="1" applyBorder="1" applyAlignment="1">
      <alignment horizontal="left" vertical="top" wrapText="1"/>
    </xf>
    <xf numFmtId="0" fontId="25" fillId="0" borderId="0" xfId="0" applyFont="1" applyBorder="1" applyAlignment="1">
      <alignment horizontal="left" vertical="top" wrapText="1"/>
    </xf>
    <xf numFmtId="0" fontId="25" fillId="0" borderId="10" xfId="0" applyFont="1" applyBorder="1" applyAlignment="1">
      <alignment horizontal="left" vertical="top" wrapText="1"/>
    </xf>
    <xf numFmtId="0" fontId="25" fillId="0" borderId="13" xfId="0" applyFont="1" applyBorder="1" applyAlignment="1">
      <alignment horizontal="left" vertical="top" wrapText="1"/>
    </xf>
    <xf numFmtId="0" fontId="25" fillId="0" borderId="8" xfId="0" applyFont="1" applyBorder="1" applyAlignment="1">
      <alignment horizontal="left" vertical="top" wrapText="1"/>
    </xf>
    <xf numFmtId="0" fontId="25" fillId="0" borderId="25" xfId="0" applyFont="1" applyBorder="1" applyAlignment="1">
      <alignment horizontal="left" vertical="top" wrapText="1"/>
    </xf>
    <xf numFmtId="0" fontId="40" fillId="0" borderId="0"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0" fillId="0" borderId="7" xfId="0" applyFont="1" applyBorder="1" applyAlignment="1">
      <alignment horizontal="left"/>
    </xf>
    <xf numFmtId="0" fontId="1" fillId="0" borderId="0" xfId="0" applyFont="1" applyBorder="1" applyAlignment="1">
      <alignment horizontal="right" vertical="top" wrapText="1"/>
    </xf>
    <xf numFmtId="0" fontId="2" fillId="0" borderId="0" xfId="0" applyFont="1" applyBorder="1" applyAlignment="1">
      <alignment horizontal="left"/>
    </xf>
    <xf numFmtId="0" fontId="1" fillId="0" borderId="6" xfId="0" applyFont="1" applyBorder="1" applyAlignment="1">
      <alignment horizontal="left"/>
    </xf>
    <xf numFmtId="0" fontId="1" fillId="0" borderId="6" xfId="0" applyFont="1" applyBorder="1" applyAlignment="1">
      <alignment horizontal="right"/>
    </xf>
    <xf numFmtId="0" fontId="1" fillId="0" borderId="6" xfId="0" applyFont="1" applyBorder="1" applyAlignment="1">
      <alignment horizontal="center"/>
    </xf>
    <xf numFmtId="0" fontId="23" fillId="2" borderId="1" xfId="0" applyFont="1" applyFill="1" applyBorder="1" applyAlignment="1" applyProtection="1">
      <alignment horizontal="center"/>
      <protection locked="0"/>
    </xf>
    <xf numFmtId="0" fontId="23" fillId="2" borderId="1" xfId="0" applyFont="1" applyFill="1" applyBorder="1" applyAlignment="1" applyProtection="1">
      <alignment horizontal="left"/>
      <protection locked="0"/>
    </xf>
    <xf numFmtId="0" fontId="20" fillId="0" borderId="6" xfId="0" applyFont="1" applyFill="1" applyBorder="1" applyAlignment="1" applyProtection="1">
      <alignment horizontal="left"/>
    </xf>
    <xf numFmtId="0" fontId="1" fillId="0" borderId="0" xfId="0" applyFont="1" applyBorder="1" applyAlignment="1">
      <alignment horizontal="center"/>
    </xf>
    <xf numFmtId="0" fontId="24" fillId="2" borderId="1" xfId="0" applyFont="1" applyFill="1" applyBorder="1" applyAlignment="1" applyProtection="1">
      <alignment horizontal="left"/>
      <protection locked="0"/>
    </xf>
    <xf numFmtId="0" fontId="9" fillId="0" borderId="2" xfId="0" applyFont="1" applyBorder="1" applyAlignment="1">
      <alignment horizontal="left"/>
    </xf>
    <xf numFmtId="0" fontId="9" fillId="0" borderId="0" xfId="0" applyFont="1" applyBorder="1" applyAlignment="1">
      <alignment horizontal="left"/>
    </xf>
    <xf numFmtId="0" fontId="1" fillId="0" borderId="3" xfId="0" applyFont="1" applyBorder="1" applyAlignment="1">
      <alignment horizontal="left"/>
    </xf>
    <xf numFmtId="0" fontId="23" fillId="2" borderId="22" xfId="0" applyFont="1" applyFill="1" applyBorder="1" applyAlignment="1" applyProtection="1">
      <alignment horizontal="left"/>
      <protection locked="0"/>
    </xf>
    <xf numFmtId="0" fontId="1" fillId="0" borderId="0" xfId="0" applyFont="1" applyBorder="1" applyAlignment="1">
      <alignment horizontal="right" wrapText="1"/>
    </xf>
    <xf numFmtId="0" fontId="15" fillId="0" borderId="7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88" xfId="0" applyFont="1" applyBorder="1" applyAlignment="1">
      <alignment horizontal="center" vertical="center" wrapText="1"/>
    </xf>
    <xf numFmtId="0" fontId="1" fillId="0" borderId="93" xfId="0" applyFont="1" applyBorder="1" applyAlignment="1">
      <alignment horizontal="center"/>
    </xf>
    <xf numFmtId="0" fontId="1" fillId="0" borderId="94" xfId="0" applyFont="1" applyBorder="1" applyAlignment="1">
      <alignment horizontal="center"/>
    </xf>
    <xf numFmtId="49" fontId="23" fillId="2" borderId="1" xfId="0" applyNumberFormat="1" applyFont="1" applyFill="1" applyBorder="1" applyAlignment="1" applyProtection="1">
      <alignment horizontal="center"/>
      <protection locked="0"/>
    </xf>
    <xf numFmtId="0" fontId="1" fillId="0" borderId="0" xfId="0" applyFont="1" applyFill="1" applyBorder="1" applyAlignment="1">
      <alignment horizontal="left"/>
    </xf>
    <xf numFmtId="0" fontId="1" fillId="0" borderId="10" xfId="0" applyFont="1" applyFill="1" applyBorder="1" applyAlignment="1">
      <alignment horizontal="left"/>
    </xf>
    <xf numFmtId="0" fontId="23" fillId="2" borderId="0"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1" fillId="0" borderId="12" xfId="0" applyFont="1" applyBorder="1" applyAlignment="1">
      <alignment horizontal="center"/>
    </xf>
    <xf numFmtId="0" fontId="1" fillId="0" borderId="3" xfId="0" applyFont="1" applyBorder="1" applyAlignment="1">
      <alignment horizontal="center"/>
    </xf>
    <xf numFmtId="0" fontId="1" fillId="0" borderId="0" xfId="0" applyFont="1" applyBorder="1" applyAlignment="1"/>
    <xf numFmtId="0" fontId="23" fillId="2" borderId="1" xfId="0" quotePrefix="1" applyFont="1" applyFill="1" applyBorder="1" applyAlignment="1" applyProtection="1">
      <alignment horizontal="center"/>
      <protection locked="0"/>
    </xf>
    <xf numFmtId="0" fontId="14" fillId="0" borderId="0" xfId="0" applyFont="1" applyBorder="1" applyAlignment="1" applyProtection="1">
      <alignment horizontal="right" vertical="center"/>
    </xf>
    <xf numFmtId="0" fontId="14" fillId="0" borderId="3" xfId="0" applyFont="1" applyBorder="1" applyAlignment="1" applyProtection="1">
      <alignment horizontal="right" vertical="center"/>
    </xf>
    <xf numFmtId="0" fontId="24" fillId="2" borderId="1" xfId="0" applyFont="1" applyFill="1" applyBorder="1" applyAlignment="1" applyProtection="1">
      <alignment horizontal="center"/>
      <protection locked="0"/>
    </xf>
    <xf numFmtId="0" fontId="1" fillId="0" borderId="0" xfId="0" applyFont="1" applyBorder="1" applyAlignment="1">
      <alignment horizontal="left" wrapText="1"/>
    </xf>
    <xf numFmtId="0" fontId="1" fillId="0" borderId="10" xfId="0" applyFont="1" applyBorder="1" applyAlignment="1">
      <alignment horizontal="left" wrapText="1"/>
    </xf>
    <xf numFmtId="0" fontId="7" fillId="0" borderId="0" xfId="0" applyFont="1" applyBorder="1" applyAlignment="1" applyProtection="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44" xfId="0" applyFont="1" applyBorder="1" applyAlignment="1">
      <alignment horizontal="left" vertical="center"/>
    </xf>
    <xf numFmtId="0" fontId="6" fillId="0" borderId="43" xfId="0" applyFont="1" applyBorder="1" applyAlignment="1">
      <alignment horizontal="left" vertical="center"/>
    </xf>
    <xf numFmtId="0" fontId="6" fillId="0" borderId="9" xfId="0" applyFont="1" applyBorder="1" applyAlignment="1">
      <alignment horizontal="left" vertical="center"/>
    </xf>
    <xf numFmtId="0" fontId="6" fillId="2" borderId="1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7" fillId="0" borderId="11" xfId="0" applyFont="1" applyFill="1" applyBorder="1" applyAlignment="1">
      <alignment vertical="center"/>
    </xf>
    <xf numFmtId="0" fontId="7" fillId="0" borderId="7" xfId="0" applyFont="1" applyFill="1" applyBorder="1" applyAlignment="1">
      <alignment vertical="center"/>
    </xf>
    <xf numFmtId="0" fontId="7" fillId="0" borderId="9" xfId="0" applyFont="1" applyFill="1" applyBorder="1" applyAlignment="1">
      <alignment vertical="center"/>
    </xf>
    <xf numFmtId="0" fontId="7" fillId="2" borderId="12" xfId="0" applyFont="1" applyFill="1" applyBorder="1" applyAlignment="1" applyProtection="1">
      <alignment horizontal="left" vertical="top"/>
      <protection locked="0"/>
    </xf>
    <xf numFmtId="0" fontId="7" fillId="2" borderId="0" xfId="0" applyFont="1" applyFill="1" applyBorder="1" applyAlignment="1" applyProtection="1">
      <alignment horizontal="left" vertical="top"/>
      <protection locked="0"/>
    </xf>
    <xf numFmtId="0" fontId="7" fillId="2" borderId="10" xfId="0" applyFont="1" applyFill="1" applyBorder="1" applyAlignment="1" applyProtection="1">
      <alignment horizontal="left" vertical="top"/>
      <protection locked="0"/>
    </xf>
    <xf numFmtId="0" fontId="7" fillId="2" borderId="13" xfId="0" applyFont="1" applyFill="1" applyBorder="1" applyAlignment="1" applyProtection="1">
      <alignment horizontal="left" vertical="top"/>
      <protection locked="0"/>
    </xf>
    <xf numFmtId="0" fontId="7" fillId="2" borderId="8" xfId="0" applyFont="1" applyFill="1" applyBorder="1" applyAlignment="1" applyProtection="1">
      <alignment horizontal="left" vertical="top"/>
      <protection locked="0"/>
    </xf>
    <xf numFmtId="0" fontId="7" fillId="2" borderId="25" xfId="0" applyFont="1" applyFill="1" applyBorder="1" applyAlignment="1" applyProtection="1">
      <alignment horizontal="left" vertical="top"/>
      <protection locked="0"/>
    </xf>
    <xf numFmtId="0" fontId="7" fillId="2" borderId="76" xfId="0" applyFont="1" applyFill="1" applyBorder="1" applyAlignment="1" applyProtection="1">
      <alignment horizontal="center" vertical="center" wrapText="1"/>
      <protection locked="0"/>
    </xf>
    <xf numFmtId="0" fontId="7" fillId="2" borderId="92" xfId="0" applyFont="1" applyFill="1" applyBorder="1" applyAlignment="1" applyProtection="1">
      <alignment horizontal="center" vertical="center" wrapText="1"/>
      <protection locked="0"/>
    </xf>
    <xf numFmtId="0" fontId="7" fillId="2" borderId="96"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9" xfId="0" applyFont="1" applyFill="1" applyBorder="1" applyAlignment="1" applyProtection="1">
      <alignment horizontal="center" vertical="center" wrapText="1"/>
      <protection locked="0"/>
    </xf>
    <xf numFmtId="0" fontId="7" fillId="2" borderId="90" xfId="0" applyFont="1" applyFill="1" applyBorder="1" applyAlignment="1" applyProtection="1">
      <alignment horizontal="center" vertical="center" wrapText="1"/>
      <protection locked="0"/>
    </xf>
    <xf numFmtId="0" fontId="7" fillId="2" borderId="95" xfId="0" applyFont="1" applyFill="1" applyBorder="1" applyAlignment="1" applyProtection="1">
      <alignment horizontal="center" vertical="center" wrapText="1"/>
      <protection locked="0"/>
    </xf>
    <xf numFmtId="0" fontId="7" fillId="0" borderId="0"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6" fillId="0" borderId="11" xfId="0" applyFont="1" applyBorder="1" applyAlignment="1">
      <alignment vertical="center"/>
    </xf>
    <xf numFmtId="0" fontId="6" fillId="0" borderId="7" xfId="0" applyFont="1" applyBorder="1" applyAlignment="1">
      <alignment vertical="center"/>
    </xf>
    <xf numFmtId="0" fontId="6" fillId="0" borderId="78"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14" fontId="7" fillId="2" borderId="76" xfId="0" applyNumberFormat="1" applyFont="1" applyFill="1" applyBorder="1" applyAlignment="1" applyProtection="1">
      <alignment horizontal="center" vertical="center" wrapText="1"/>
      <protection locked="0"/>
    </xf>
    <xf numFmtId="14" fontId="7" fillId="2" borderId="92" xfId="0" applyNumberFormat="1" applyFont="1" applyFill="1" applyBorder="1" applyAlignment="1" applyProtection="1">
      <alignment horizontal="center" vertical="center" wrapText="1"/>
      <protection locked="0"/>
    </xf>
    <xf numFmtId="14" fontId="7" fillId="2" borderId="96" xfId="0" applyNumberFormat="1" applyFont="1" applyFill="1" applyBorder="1" applyAlignment="1" applyProtection="1">
      <alignment horizontal="center" vertical="center" wrapText="1"/>
      <protection locked="0"/>
    </xf>
    <xf numFmtId="14" fontId="7" fillId="2" borderId="12" xfId="0" applyNumberFormat="1" applyFont="1" applyFill="1" applyBorder="1" applyAlignment="1" applyProtection="1">
      <alignment horizontal="center" vertical="center" wrapText="1"/>
      <protection locked="0"/>
    </xf>
    <xf numFmtId="14" fontId="7" fillId="2" borderId="0" xfId="0" applyNumberFormat="1" applyFont="1" applyFill="1" applyBorder="1" applyAlignment="1" applyProtection="1">
      <alignment horizontal="center" vertical="center" wrapText="1"/>
      <protection locked="0"/>
    </xf>
    <xf numFmtId="14" fontId="7" fillId="2" borderId="10" xfId="0" applyNumberFormat="1" applyFont="1" applyFill="1" applyBorder="1" applyAlignment="1" applyProtection="1">
      <alignment horizontal="center" vertical="center" wrapText="1"/>
      <protection locked="0"/>
    </xf>
    <xf numFmtId="14" fontId="7" fillId="2" borderId="89" xfId="0" applyNumberFormat="1" applyFont="1" applyFill="1" applyBorder="1" applyAlignment="1" applyProtection="1">
      <alignment horizontal="center" vertical="center" wrapText="1"/>
      <protection locked="0"/>
    </xf>
    <xf numFmtId="14" fontId="7" fillId="2" borderId="90" xfId="0" applyNumberFormat="1" applyFont="1" applyFill="1" applyBorder="1" applyAlignment="1" applyProtection="1">
      <alignment horizontal="center" vertical="center" wrapText="1"/>
      <protection locked="0"/>
    </xf>
    <xf numFmtId="14" fontId="7" fillId="2" borderId="95" xfId="0" applyNumberFormat="1" applyFont="1" applyFill="1" applyBorder="1" applyAlignment="1" applyProtection="1">
      <alignment horizontal="center" vertical="center" wrapText="1"/>
      <protection locked="0"/>
    </xf>
    <xf numFmtId="0" fontId="0" fillId="2" borderId="76" xfId="0" applyFill="1" applyBorder="1" applyAlignment="1" applyProtection="1">
      <alignment horizontal="center"/>
      <protection locked="0"/>
    </xf>
    <xf numFmtId="0" fontId="0" fillId="2" borderId="92" xfId="0" applyFill="1" applyBorder="1" applyAlignment="1" applyProtection="1">
      <alignment horizontal="center"/>
      <protection locked="0"/>
    </xf>
    <xf numFmtId="0" fontId="0" fillId="2" borderId="96"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89" xfId="0" applyFill="1" applyBorder="1" applyAlignment="1" applyProtection="1">
      <alignment horizontal="center"/>
      <protection locked="0"/>
    </xf>
    <xf numFmtId="0" fontId="0" fillId="2" borderId="90" xfId="0" applyFill="1" applyBorder="1" applyAlignment="1" applyProtection="1">
      <alignment horizontal="center"/>
      <protection locked="0"/>
    </xf>
    <xf numFmtId="0" fontId="0" fillId="2" borderId="95" xfId="0" applyFill="1" applyBorder="1" applyAlignment="1" applyProtection="1">
      <alignment horizontal="center"/>
      <protection locked="0"/>
    </xf>
    <xf numFmtId="0" fontId="7" fillId="2" borderId="13"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25" fillId="0" borderId="0" xfId="0" applyFont="1" applyBorder="1" applyAlignment="1">
      <alignment horizontal="center" wrapText="1"/>
    </xf>
    <xf numFmtId="0" fontId="25" fillId="0" borderId="8" xfId="0" applyFont="1" applyBorder="1" applyAlignment="1">
      <alignment horizont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91" xfId="0" applyFont="1" applyBorder="1" applyAlignment="1">
      <alignment horizontal="center" vertical="center" wrapText="1"/>
    </xf>
    <xf numFmtId="0" fontId="6" fillId="0" borderId="10" xfId="0" applyFont="1" applyBorder="1" applyAlignment="1">
      <alignment horizontal="left" vertical="center"/>
    </xf>
    <xf numFmtId="14" fontId="10" fillId="2" borderId="12" xfId="0" applyNumberFormat="1" applyFont="1" applyFill="1" applyBorder="1" applyAlignment="1" applyProtection="1">
      <alignment horizontal="center"/>
      <protection locked="0"/>
    </xf>
    <xf numFmtId="14" fontId="10" fillId="2" borderId="13" xfId="0" applyNumberFormat="1" applyFont="1" applyFill="1" applyBorder="1" applyAlignment="1" applyProtection="1">
      <alignment horizontal="center"/>
      <protection locked="0"/>
    </xf>
    <xf numFmtId="0" fontId="10" fillId="2" borderId="8" xfId="0" applyFont="1" applyFill="1" applyBorder="1" applyAlignment="1" applyProtection="1">
      <alignment horizontal="center"/>
      <protection locked="0"/>
    </xf>
    <xf numFmtId="0" fontId="10" fillId="2" borderId="25"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7" fillId="2" borderId="93"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94" xfId="0" applyFont="1" applyFill="1" applyBorder="1" applyAlignment="1" applyProtection="1">
      <alignment horizontal="center" vertical="center" wrapText="1"/>
      <protection locked="0"/>
    </xf>
    <xf numFmtId="14" fontId="7" fillId="2" borderId="93" xfId="0" applyNumberFormat="1" applyFont="1" applyFill="1" applyBorder="1" applyAlignment="1" applyProtection="1">
      <alignment horizontal="center" vertical="center" wrapText="1"/>
      <protection locked="0"/>
    </xf>
    <xf numFmtId="0" fontId="0" fillId="0" borderId="93" xfId="0" applyBorder="1" applyAlignment="1">
      <alignment horizontal="center"/>
    </xf>
    <xf numFmtId="0" fontId="0" fillId="0" borderId="6" xfId="0" applyBorder="1" applyAlignment="1">
      <alignment horizontal="center"/>
    </xf>
    <xf numFmtId="0" fontId="0" fillId="0" borderId="94"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78" xfId="0" applyBorder="1" applyAlignment="1">
      <alignment horizontal="center"/>
    </xf>
    <xf numFmtId="0" fontId="0" fillId="0" borderId="1" xfId="0" applyBorder="1" applyAlignment="1">
      <alignment horizontal="center"/>
    </xf>
    <xf numFmtId="0" fontId="0" fillId="0" borderId="87" xfId="0" applyBorder="1" applyAlignment="1">
      <alignment horizontal="center"/>
    </xf>
    <xf numFmtId="0" fontId="7" fillId="0" borderId="79" xfId="0" applyFont="1" applyBorder="1" applyAlignment="1">
      <alignment vertical="center"/>
    </xf>
    <xf numFmtId="0" fontId="7" fillId="0" borderId="22" xfId="0" applyFont="1" applyBorder="1" applyAlignment="1">
      <alignment vertical="center"/>
    </xf>
    <xf numFmtId="0" fontId="7" fillId="0" borderId="88" xfId="0" applyFont="1" applyBorder="1" applyAlignment="1">
      <alignment vertical="center"/>
    </xf>
    <xf numFmtId="0" fontId="7" fillId="2" borderId="29"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7" fillId="2" borderId="74" xfId="0" applyFont="1" applyFill="1" applyBorder="1" applyAlignment="1" applyProtection="1">
      <alignment horizontal="center" vertical="center"/>
      <protection locked="0"/>
    </xf>
    <xf numFmtId="0" fontId="7" fillId="2" borderId="58"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7" fillId="2" borderId="71"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0" fontId="7" fillId="2" borderId="59"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14" fontId="10" fillId="2" borderId="0" xfId="0" applyNumberFormat="1" applyFont="1" applyFill="1" applyBorder="1" applyAlignment="1" applyProtection="1">
      <alignment horizontal="center"/>
      <protection locked="0"/>
    </xf>
    <xf numFmtId="14" fontId="10" fillId="2" borderId="10" xfId="0" applyNumberFormat="1" applyFont="1" applyFill="1" applyBorder="1" applyAlignment="1" applyProtection="1">
      <alignment horizontal="center"/>
      <protection locked="0"/>
    </xf>
    <xf numFmtId="0" fontId="7" fillId="2" borderId="56" xfId="0" applyFont="1" applyFill="1" applyBorder="1" applyAlignment="1" applyProtection="1">
      <alignment horizontal="center" vertical="center"/>
      <protection locked="0"/>
    </xf>
    <xf numFmtId="0" fontId="7" fillId="2" borderId="75" xfId="0" applyFont="1" applyFill="1" applyBorder="1" applyAlignment="1" applyProtection="1">
      <alignment horizontal="center" vertical="center"/>
      <protection locked="0"/>
    </xf>
    <xf numFmtId="0" fontId="7" fillId="0" borderId="11" xfId="0" applyFont="1" applyBorder="1" applyAlignment="1">
      <alignment horizontal="left"/>
    </xf>
    <xf numFmtId="0" fontId="7" fillId="0" borderId="7" xfId="0" applyFont="1" applyBorder="1" applyAlignment="1">
      <alignment horizontal="left"/>
    </xf>
    <xf numFmtId="0" fontId="7" fillId="0" borderId="12" xfId="0" applyFont="1" applyBorder="1" applyAlignment="1">
      <alignment horizontal="left"/>
    </xf>
    <xf numFmtId="0" fontId="7" fillId="0" borderId="0" xfId="0" applyFont="1" applyBorder="1" applyAlignment="1">
      <alignment horizontal="left"/>
    </xf>
    <xf numFmtId="0" fontId="21" fillId="2" borderId="7" xfId="0" applyFont="1" applyFill="1" applyBorder="1" applyAlignment="1" applyProtection="1">
      <alignment horizontal="center"/>
      <protection locked="0"/>
    </xf>
    <xf numFmtId="0" fontId="21" fillId="2" borderId="9" xfId="0" applyFont="1" applyFill="1" applyBorder="1" applyAlignment="1" applyProtection="1">
      <alignment horizontal="center"/>
      <protection locked="0"/>
    </xf>
    <xf numFmtId="0" fontId="21" fillId="2" borderId="0" xfId="0" applyFont="1" applyFill="1" applyBorder="1" applyAlignment="1" applyProtection="1">
      <alignment horizontal="center"/>
      <protection locked="0"/>
    </xf>
    <xf numFmtId="0" fontId="21" fillId="2" borderId="10" xfId="0" applyFont="1" applyFill="1" applyBorder="1" applyAlignment="1" applyProtection="1">
      <alignment horizontal="center"/>
      <protection locked="0"/>
    </xf>
    <xf numFmtId="0" fontId="21" fillId="2" borderId="12"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2" borderId="51"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7" fillId="0" borderId="10" xfId="0" applyFont="1" applyBorder="1" applyAlignment="1">
      <alignment horizontal="left"/>
    </xf>
    <xf numFmtId="0" fontId="7" fillId="2" borderId="42"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59"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64" xfId="0" applyFont="1" applyBorder="1" applyAlignment="1" applyProtection="1">
      <alignment horizontal="center" vertical="center" wrapText="1"/>
    </xf>
    <xf numFmtId="0" fontId="7" fillId="0" borderId="65" xfId="0" applyFont="1" applyBorder="1" applyAlignment="1" applyProtection="1">
      <alignment horizontal="center" vertical="center" wrapText="1"/>
    </xf>
    <xf numFmtId="0" fontId="7" fillId="0" borderId="66" xfId="0" applyFont="1" applyBorder="1" applyAlignment="1" applyProtection="1">
      <alignment horizontal="center" vertical="center" wrapText="1"/>
    </xf>
    <xf numFmtId="0" fontId="7" fillId="0" borderId="53" xfId="0" applyFont="1" applyFill="1" applyBorder="1" applyAlignment="1" applyProtection="1">
      <alignment horizontal="center" vertical="center"/>
    </xf>
    <xf numFmtId="0" fontId="7" fillId="0" borderId="56" xfId="0" applyFont="1" applyFill="1" applyBorder="1" applyAlignment="1" applyProtection="1">
      <alignment horizontal="center" vertical="center"/>
    </xf>
    <xf numFmtId="0" fontId="7" fillId="0" borderId="54"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2" borderId="53" xfId="0" applyFont="1" applyFill="1" applyBorder="1" applyAlignment="1" applyProtection="1">
      <alignment horizontal="center" vertical="center"/>
      <protection locked="0"/>
    </xf>
    <xf numFmtId="0" fontId="7" fillId="2" borderId="26"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center" vertical="center"/>
      <protection locked="0"/>
    </xf>
    <xf numFmtId="0" fontId="7" fillId="2" borderId="69"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65" xfId="0" applyFont="1" applyFill="1" applyBorder="1" applyAlignment="1" applyProtection="1">
      <alignment horizontal="center" vertical="center"/>
      <protection locked="0"/>
    </xf>
    <xf numFmtId="0" fontId="7" fillId="2" borderId="66" xfId="0" applyFont="1" applyFill="1" applyBorder="1" applyAlignment="1" applyProtection="1">
      <alignment horizontal="center" vertical="center"/>
      <protection locked="0"/>
    </xf>
    <xf numFmtId="0" fontId="7" fillId="0" borderId="11" xfId="0" applyFont="1" applyBorder="1" applyAlignment="1">
      <alignment horizontal="left" vertical="center"/>
    </xf>
    <xf numFmtId="0" fontId="7" fillId="0" borderId="7" xfId="0" applyFont="1" applyBorder="1" applyAlignment="1">
      <alignment horizontal="left" vertical="center"/>
    </xf>
    <xf numFmtId="0" fontId="7" fillId="0" borderId="44" xfId="0" applyFont="1" applyBorder="1" applyAlignment="1">
      <alignment horizontal="left" vertical="center"/>
    </xf>
    <xf numFmtId="0" fontId="21" fillId="2" borderId="3" xfId="0" applyFont="1" applyFill="1" applyBorder="1" applyAlignment="1" applyProtection="1">
      <alignment horizontal="center" vertical="center"/>
      <protection locked="0"/>
    </xf>
    <xf numFmtId="0" fontId="21" fillId="2" borderId="46"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7" fillId="2" borderId="32"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34" xfId="0" applyFont="1" applyFill="1" applyBorder="1" applyAlignment="1" applyProtection="1">
      <alignment horizontal="left" vertical="center" wrapText="1"/>
      <protection locked="0"/>
    </xf>
    <xf numFmtId="0" fontId="7" fillId="2" borderId="72" xfId="0" applyFont="1" applyFill="1" applyBorder="1" applyAlignment="1" applyProtection="1">
      <alignment horizontal="center" vertical="center"/>
      <protection locked="0"/>
    </xf>
    <xf numFmtId="0" fontId="7" fillId="2" borderId="73" xfId="0" applyFont="1" applyFill="1" applyBorder="1" applyAlignment="1" applyProtection="1">
      <alignment horizontal="center" vertical="center"/>
      <protection locked="0"/>
    </xf>
    <xf numFmtId="0" fontId="8" fillId="0" borderId="0" xfId="0" applyFont="1" applyBorder="1" applyAlignment="1">
      <alignment horizontal="center" wrapText="1"/>
    </xf>
    <xf numFmtId="0" fontId="8" fillId="0" borderId="8" xfId="0" applyFont="1" applyBorder="1" applyAlignment="1">
      <alignment horizontal="center" wrapText="1"/>
    </xf>
    <xf numFmtId="0" fontId="21" fillId="2" borderId="2" xfId="0" applyFont="1" applyFill="1" applyBorder="1" applyAlignment="1" applyProtection="1">
      <alignment horizontal="center" vertical="center"/>
      <protection locked="0"/>
    </xf>
    <xf numFmtId="0" fontId="21" fillId="2" borderId="45" xfId="0" applyFont="1" applyFill="1" applyBorder="1" applyAlignment="1" applyProtection="1">
      <alignment horizontal="center" vertical="center"/>
      <protection locked="0"/>
    </xf>
    <xf numFmtId="0" fontId="7" fillId="0" borderId="43" xfId="0" applyFont="1" applyBorder="1" applyAlignment="1">
      <alignment horizontal="left" vertical="center"/>
    </xf>
    <xf numFmtId="0" fontId="21" fillId="2" borderId="2"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5"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21" fillId="2" borderId="46"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10" xfId="0" applyFont="1" applyFill="1" applyBorder="1" applyAlignment="1" applyProtection="1">
      <alignment horizontal="left"/>
    </xf>
    <xf numFmtId="0" fontId="7" fillId="0" borderId="9" xfId="0" applyFont="1" applyBorder="1" applyAlignment="1">
      <alignment horizontal="left" vertical="center"/>
    </xf>
    <xf numFmtId="0" fontId="6" fillId="2" borderId="40"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protection locked="0"/>
    </xf>
    <xf numFmtId="0" fontId="21" fillId="2" borderId="25" xfId="0" applyFont="1" applyFill="1" applyBorder="1" applyAlignment="1" applyProtection="1">
      <alignment horizontal="center"/>
      <protection locked="0"/>
    </xf>
    <xf numFmtId="0" fontId="7" fillId="2" borderId="7"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0" xfId="0" applyFont="1" applyBorder="1" applyAlignment="1">
      <alignment horizontal="left" vertical="top" wrapText="1"/>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7" fillId="0" borderId="13" xfId="0" applyFont="1" applyBorder="1" applyAlignment="1">
      <alignment horizontal="left" vertical="center"/>
    </xf>
    <xf numFmtId="0" fontId="7" fillId="0" borderId="8" xfId="0" applyFont="1" applyBorder="1" applyAlignment="1">
      <alignment horizontal="left" vertical="center"/>
    </xf>
    <xf numFmtId="0" fontId="9" fillId="0" borderId="12" xfId="0" applyFont="1" applyBorder="1" applyAlignment="1">
      <alignment horizontal="left"/>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7" fillId="0" borderId="26"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6" fillId="2" borderId="26"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7" fillId="0" borderId="44" xfId="0" applyFont="1" applyBorder="1" applyAlignment="1">
      <alignment horizontal="left"/>
    </xf>
    <xf numFmtId="0" fontId="7" fillId="0" borderId="43" xfId="0" applyFont="1" applyBorder="1" applyAlignment="1">
      <alignment horizontal="left"/>
    </xf>
    <xf numFmtId="0" fontId="7" fillId="0" borderId="9" xfId="0" applyFont="1" applyBorder="1" applyAlignment="1">
      <alignment horizontal="left"/>
    </xf>
    <xf numFmtId="0" fontId="6" fillId="2" borderId="12"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1" fillId="0" borderId="12" xfId="0" applyFont="1" applyBorder="1" applyAlignment="1">
      <alignment horizontal="left"/>
    </xf>
    <xf numFmtId="0" fontId="10" fillId="2" borderId="0"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wrapText="1"/>
      <protection locked="0"/>
    </xf>
    <xf numFmtId="0" fontId="1" fillId="0" borderId="12" xfId="0" applyFont="1" applyBorder="1" applyAlignment="1">
      <alignment horizontal="left" vertical="top" wrapText="1"/>
    </xf>
    <xf numFmtId="0" fontId="1" fillId="0" borderId="0" xfId="0" applyFont="1" applyBorder="1" applyAlignment="1">
      <alignment horizontal="left" vertical="top" wrapText="1"/>
    </xf>
    <xf numFmtId="0" fontId="1" fillId="0" borderId="10" xfId="0" applyFont="1" applyBorder="1" applyAlignment="1">
      <alignment horizontal="left" vertical="top" wrapText="1"/>
    </xf>
    <xf numFmtId="0" fontId="1" fillId="0" borderId="13" xfId="0" applyFont="1" applyBorder="1" applyAlignment="1">
      <alignment horizontal="left" vertical="top" wrapText="1"/>
    </xf>
    <xf numFmtId="0" fontId="1" fillId="0" borderId="8" xfId="0" applyFont="1" applyBorder="1" applyAlignment="1">
      <alignment horizontal="left" vertical="top" wrapText="1"/>
    </xf>
    <xf numFmtId="0" fontId="1" fillId="0" borderId="25" xfId="0" applyFont="1" applyBorder="1" applyAlignment="1">
      <alignment horizontal="left" vertical="top" wrapText="1"/>
    </xf>
    <xf numFmtId="0" fontId="6" fillId="2" borderId="19"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4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10" fillId="2" borderId="46"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6" fillId="0" borderId="1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67"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wrapText="1"/>
      <protection locked="0"/>
    </xf>
    <xf numFmtId="0" fontId="6" fillId="2" borderId="55"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xf>
    <xf numFmtId="0" fontId="7" fillId="0" borderId="0" xfId="0" applyFont="1" applyAlignment="1" applyProtection="1">
      <alignment horizontal="center"/>
    </xf>
    <xf numFmtId="0" fontId="7" fillId="0" borderId="10" xfId="0" applyFont="1" applyBorder="1" applyAlignment="1" applyProtection="1">
      <alignment horizontal="center"/>
    </xf>
    <xf numFmtId="0" fontId="7" fillId="0" borderId="7" xfId="0" applyFont="1" applyFill="1" applyBorder="1" applyAlignment="1">
      <alignment horizontal="center"/>
    </xf>
    <xf numFmtId="0" fontId="7" fillId="0" borderId="8" xfId="0" applyFont="1" applyBorder="1" applyAlignment="1" applyProtection="1">
      <alignment horizontal="center"/>
    </xf>
    <xf numFmtId="0" fontId="26" fillId="2" borderId="23"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7" fillId="0" borderId="0" xfId="0" applyFont="1" applyBorder="1" applyAlignment="1">
      <alignment horizontal="right"/>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87" xfId="0" applyFont="1" applyFill="1" applyBorder="1" applyAlignment="1" applyProtection="1">
      <alignment horizontal="center" vertical="center" wrapText="1"/>
      <protection locked="0"/>
    </xf>
    <xf numFmtId="0" fontId="26" fillId="0" borderId="83" xfId="0" applyFont="1" applyFill="1" applyBorder="1" applyAlignment="1">
      <alignment horizontal="left" vertical="center" wrapText="1"/>
    </xf>
    <xf numFmtId="0" fontId="26" fillId="0" borderId="81" xfId="0" applyFont="1" applyFill="1" applyBorder="1" applyAlignment="1">
      <alignment horizontal="left" vertical="center" wrapText="1"/>
    </xf>
    <xf numFmtId="0" fontId="26" fillId="0" borderId="82" xfId="0" applyFont="1" applyFill="1" applyBorder="1" applyAlignment="1">
      <alignment horizontal="left" vertical="center" wrapText="1"/>
    </xf>
    <xf numFmtId="0" fontId="13" fillId="0" borderId="8" xfId="0" applyFont="1" applyFill="1" applyBorder="1" applyAlignment="1">
      <alignment horizontal="left" vertical="center"/>
    </xf>
    <xf numFmtId="0" fontId="13" fillId="0" borderId="25" xfId="0" applyFont="1" applyFill="1" applyBorder="1" applyAlignment="1">
      <alignment horizontal="left" vertical="center"/>
    </xf>
    <xf numFmtId="0" fontId="26" fillId="0" borderId="84" xfId="0" applyFont="1" applyFill="1" applyBorder="1" applyAlignment="1">
      <alignment horizontal="left" vertical="center" wrapText="1"/>
    </xf>
    <xf numFmtId="0" fontId="26" fillId="0" borderId="85" xfId="0" applyFont="1" applyFill="1" applyBorder="1" applyAlignment="1">
      <alignment horizontal="left" vertical="center" wrapText="1"/>
    </xf>
    <xf numFmtId="0" fontId="26" fillId="0" borderId="86" xfId="0" applyFont="1" applyFill="1" applyBorder="1" applyAlignment="1">
      <alignment horizontal="left" vertical="center" wrapText="1"/>
    </xf>
    <xf numFmtId="0" fontId="26" fillId="0" borderId="79"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24" xfId="0" applyFont="1" applyFill="1" applyBorder="1" applyAlignment="1">
      <alignment horizontal="left" vertical="center" wrapText="1"/>
    </xf>
    <xf numFmtId="14" fontId="6" fillId="2" borderId="4" xfId="0" applyNumberFormat="1" applyFont="1" applyFill="1" applyBorder="1" applyAlignment="1" applyProtection="1">
      <alignment horizontal="center" vertical="center" wrapText="1"/>
      <protection locked="0"/>
    </xf>
    <xf numFmtId="0" fontId="7" fillId="0" borderId="43" xfId="0" applyFont="1" applyBorder="1" applyAlignment="1" applyProtection="1">
      <alignment horizontal="center"/>
    </xf>
    <xf numFmtId="0" fontId="7" fillId="0" borderId="7" xfId="0" applyFont="1" applyBorder="1" applyAlignment="1" applyProtection="1">
      <alignment horizontal="center"/>
    </xf>
    <xf numFmtId="0" fontId="7" fillId="0" borderId="44" xfId="0" applyFont="1" applyBorder="1" applyAlignment="1" applyProtection="1">
      <alignment horizont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3" xfId="0" applyFont="1" applyBorder="1" applyAlignment="1" applyProtection="1">
      <alignment horizontal="center"/>
    </xf>
    <xf numFmtId="0" fontId="28" fillId="0" borderId="84" xfId="0" applyFont="1" applyBorder="1" applyAlignment="1">
      <alignment horizontal="center" vertical="center"/>
    </xf>
    <xf numFmtId="0" fontId="28" fillId="0" borderId="86" xfId="0" applyFont="1" applyBorder="1" applyAlignment="1">
      <alignment horizontal="center" vertical="center"/>
    </xf>
    <xf numFmtId="0" fontId="7" fillId="0" borderId="1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46" xfId="0" applyFont="1" applyBorder="1" applyAlignment="1" applyProtection="1">
      <alignment horizontal="left" vertical="center"/>
    </xf>
    <xf numFmtId="0" fontId="7" fillId="0" borderId="78"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5" xfId="0" applyFont="1" applyBorder="1" applyAlignment="1" applyProtection="1">
      <alignment horizontal="left" vertical="center"/>
    </xf>
    <xf numFmtId="0" fontId="30" fillId="0" borderId="0" xfId="0" applyFont="1" applyFill="1" applyBorder="1" applyAlignment="1">
      <alignment horizontal="left" vertical="center"/>
    </xf>
    <xf numFmtId="0" fontId="7" fillId="0" borderId="79"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0" borderId="22" xfId="0" applyFont="1" applyBorder="1" applyAlignment="1" applyProtection="1">
      <alignment horizontal="center" vertical="center"/>
    </xf>
    <xf numFmtId="0" fontId="7" fillId="0" borderId="24" xfId="0" applyFont="1" applyBorder="1" applyAlignment="1" applyProtection="1">
      <alignment horizontal="center" vertical="center"/>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7" fillId="0" borderId="11"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44" xfId="0" applyFont="1" applyBorder="1" applyAlignment="1" applyProtection="1">
      <alignment horizontal="left" vertical="center"/>
    </xf>
    <xf numFmtId="0" fontId="6" fillId="2" borderId="1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7" fillId="0" borderId="4" xfId="0" applyFont="1" applyBorder="1" applyAlignment="1">
      <alignment horizontal="center"/>
    </xf>
    <xf numFmtId="0" fontId="7" fillId="0" borderId="1" xfId="0" applyFont="1" applyBorder="1" applyAlignment="1">
      <alignment horizontal="center"/>
    </xf>
    <xf numFmtId="0" fontId="7" fillId="0" borderId="5" xfId="0" applyFont="1" applyBorder="1" applyAlignment="1">
      <alignment horizontal="center"/>
    </xf>
    <xf numFmtId="0" fontId="10" fillId="0" borderId="7" xfId="0" applyFont="1" applyBorder="1" applyAlignment="1" applyProtection="1">
      <alignment horizontal="right" vertical="top"/>
    </xf>
    <xf numFmtId="0" fontId="10" fillId="0" borderId="44" xfId="0" applyFont="1" applyBorder="1" applyAlignment="1" applyProtection="1">
      <alignment horizontal="right" vertical="top"/>
    </xf>
    <xf numFmtId="0" fontId="10" fillId="0" borderId="78" xfId="0" applyFont="1" applyBorder="1" applyAlignment="1" applyProtection="1">
      <alignment horizontal="left"/>
    </xf>
    <xf numFmtId="0" fontId="10" fillId="0" borderId="1" xfId="0" applyFont="1" applyBorder="1" applyAlignment="1" applyProtection="1">
      <alignment horizontal="left"/>
    </xf>
    <xf numFmtId="0" fontId="10" fillId="0" borderId="5" xfId="0" applyFont="1" applyBorder="1" applyAlignment="1" applyProtection="1">
      <alignment horizontal="left"/>
    </xf>
    <xf numFmtId="0" fontId="26" fillId="2" borderId="80" xfId="0" applyFont="1" applyFill="1" applyBorder="1" applyAlignment="1" applyProtection="1">
      <alignment horizontal="center" vertical="center" wrapText="1"/>
      <protection locked="0"/>
    </xf>
    <xf numFmtId="0" fontId="26" fillId="2" borderId="82" xfId="0" applyFont="1" applyFill="1" applyBorder="1" applyAlignment="1" applyProtection="1">
      <alignment horizontal="center" vertical="center" wrapText="1"/>
      <protection locked="0"/>
    </xf>
    <xf numFmtId="0" fontId="7" fillId="0" borderId="87" xfId="0" applyFont="1" applyBorder="1" applyAlignment="1">
      <alignment horizontal="center"/>
    </xf>
    <xf numFmtId="0" fontId="7" fillId="0" borderId="9" xfId="0" applyFont="1" applyBorder="1" applyAlignment="1" applyProtection="1">
      <alignment horizont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25" xfId="0" applyFont="1" applyBorder="1" applyAlignment="1">
      <alignment horizontal="center" vertical="center"/>
    </xf>
    <xf numFmtId="14" fontId="10" fillId="2" borderId="8" xfId="0" applyNumberFormat="1" applyFont="1" applyFill="1" applyBorder="1" applyAlignment="1" applyProtection="1">
      <alignment horizontal="center"/>
      <protection locked="0"/>
    </xf>
    <xf numFmtId="14" fontId="10" fillId="2" borderId="25" xfId="0" applyNumberFormat="1" applyFont="1" applyFill="1" applyBorder="1" applyAlignment="1" applyProtection="1">
      <alignment horizontal="center"/>
      <protection locked="0"/>
    </xf>
    <xf numFmtId="0" fontId="6" fillId="2" borderId="80" xfId="0" applyFont="1" applyFill="1" applyBorder="1" applyAlignment="1" applyProtection="1">
      <alignment horizontal="center" vertical="center" wrapText="1"/>
      <protection locked="0"/>
    </xf>
    <xf numFmtId="0" fontId="6" fillId="2" borderId="81" xfId="0" applyFont="1" applyFill="1" applyBorder="1" applyAlignment="1" applyProtection="1">
      <alignment horizontal="center" vertical="center" wrapText="1"/>
      <protection locked="0"/>
    </xf>
    <xf numFmtId="0" fontId="6" fillId="2" borderId="82"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7" fillId="0" borderId="43" xfId="0" applyFont="1" applyBorder="1" applyAlignment="1" applyProtection="1">
      <alignment horizontal="left" vertical="center"/>
    </xf>
    <xf numFmtId="0" fontId="7" fillId="0" borderId="9" xfId="0" applyFont="1" applyBorder="1" applyAlignment="1" applyProtection="1">
      <alignment horizontal="left" vertical="center"/>
    </xf>
    <xf numFmtId="14" fontId="6" fillId="2" borderId="0" xfId="0" applyNumberFormat="1" applyFont="1" applyFill="1" applyBorder="1" applyAlignment="1" applyProtection="1">
      <alignment horizontal="center" vertical="center" wrapText="1"/>
      <protection locked="0"/>
    </xf>
    <xf numFmtId="14" fontId="6" fillId="2" borderId="10" xfId="0" applyNumberFormat="1" applyFont="1" applyFill="1" applyBorder="1" applyAlignment="1" applyProtection="1">
      <alignment horizontal="center" vertical="center" wrapText="1"/>
      <protection locked="0"/>
    </xf>
    <xf numFmtId="14" fontId="6" fillId="2" borderId="8" xfId="0" applyNumberFormat="1" applyFont="1" applyFill="1" applyBorder="1" applyAlignment="1" applyProtection="1">
      <alignment horizontal="center" vertical="center" wrapText="1"/>
      <protection locked="0"/>
    </xf>
    <xf numFmtId="14" fontId="6" fillId="2" borderId="25"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45" xfId="0" applyFont="1" applyFill="1" applyBorder="1" applyAlignment="1" applyProtection="1">
      <alignment horizontal="left" vertical="center" wrapText="1"/>
      <protection locked="0"/>
    </xf>
    <xf numFmtId="0" fontId="6" fillId="2" borderId="46" xfId="0" applyFont="1" applyFill="1" applyBorder="1" applyAlignment="1" applyProtection="1">
      <alignment horizontal="left" vertical="center" wrapText="1"/>
      <protection locked="0"/>
    </xf>
    <xf numFmtId="0" fontId="6" fillId="2" borderId="88"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6" fillId="2" borderId="19"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center" vertical="center" wrapText="1"/>
      <protection locked="0"/>
    </xf>
    <xf numFmtId="0" fontId="33" fillId="0" borderId="11" xfId="0" applyFont="1" applyFill="1" applyBorder="1" applyAlignment="1"/>
    <xf numFmtId="0" fontId="33" fillId="0" borderId="7" xfId="0" applyFont="1" applyFill="1" applyBorder="1" applyAlignment="1"/>
    <xf numFmtId="0" fontId="33" fillId="0" borderId="9" xfId="0" applyFont="1" applyFill="1" applyBorder="1" applyAlignment="1"/>
    <xf numFmtId="0" fontId="33" fillId="8" borderId="11" xfId="0" applyFont="1" applyFill="1" applyBorder="1" applyAlignment="1">
      <alignment horizontal="center" vertical="top" wrapText="1"/>
    </xf>
    <xf numFmtId="0" fontId="33" fillId="8" borderId="7" xfId="0" applyFont="1" applyFill="1" applyBorder="1" applyAlignment="1">
      <alignment horizontal="center" vertical="top" wrapText="1"/>
    </xf>
    <xf numFmtId="0" fontId="33" fillId="8" borderId="9" xfId="0" applyFont="1" applyFill="1" applyBorder="1" applyAlignment="1">
      <alignment horizontal="center" vertical="top" wrapText="1"/>
    </xf>
    <xf numFmtId="0" fontId="37" fillId="0" borderId="12" xfId="0" applyFont="1" applyFill="1" applyBorder="1" applyAlignment="1">
      <alignment vertical="top" wrapText="1"/>
    </xf>
    <xf numFmtId="0" fontId="37" fillId="0" borderId="0" xfId="0" applyFont="1" applyFill="1" applyBorder="1" applyAlignment="1">
      <alignment vertical="top" wrapText="1"/>
    </xf>
    <xf numFmtId="0" fontId="37" fillId="0" borderId="10" xfId="0" applyFont="1" applyFill="1" applyBorder="1" applyAlignment="1">
      <alignment vertical="top" wrapText="1"/>
    </xf>
    <xf numFmtId="0" fontId="39" fillId="8" borderId="12" xfId="0" applyFont="1" applyFill="1" applyBorder="1" applyAlignment="1">
      <alignment horizontal="center" vertical="top" wrapText="1"/>
    </xf>
    <xf numFmtId="0" fontId="39" fillId="8" borderId="0" xfId="0" applyFont="1" applyFill="1" applyBorder="1" applyAlignment="1">
      <alignment horizontal="center" vertical="top" wrapText="1"/>
    </xf>
    <xf numFmtId="0" fontId="39" fillId="8" borderId="10" xfId="0" applyFont="1" applyFill="1" applyBorder="1" applyAlignment="1">
      <alignment horizontal="center" vertical="top" wrapText="1"/>
    </xf>
    <xf numFmtId="0" fontId="33" fillId="0" borderId="12" xfId="0" applyFont="1" applyFill="1" applyBorder="1" applyAlignment="1"/>
    <xf numFmtId="0" fontId="33" fillId="0" borderId="0" xfId="0" applyFont="1" applyFill="1" applyBorder="1" applyAlignment="1"/>
    <xf numFmtId="0" fontId="33" fillId="0" borderId="10" xfId="0" applyFont="1" applyFill="1" applyBorder="1" applyAlignment="1"/>
    <xf numFmtId="0" fontId="10" fillId="8" borderId="11" xfId="0" applyFont="1" applyFill="1" applyBorder="1" applyAlignment="1">
      <alignment horizontal="center" vertical="top" wrapText="1"/>
    </xf>
    <xf numFmtId="0" fontId="10" fillId="8" borderId="7" xfId="0" applyFont="1" applyFill="1" applyBorder="1" applyAlignment="1">
      <alignment horizontal="center" vertical="top" wrapText="1"/>
    </xf>
    <xf numFmtId="0" fontId="10" fillId="8" borderId="9" xfId="0" applyFont="1" applyFill="1" applyBorder="1" applyAlignment="1">
      <alignment horizontal="center" vertical="top" wrapText="1"/>
    </xf>
    <xf numFmtId="0" fontId="32" fillId="0" borderId="15" xfId="0" applyFont="1" applyFill="1" applyBorder="1" applyAlignment="1" applyProtection="1">
      <alignment horizontal="center"/>
      <protection locked="0"/>
    </xf>
    <xf numFmtId="0" fontId="32" fillId="0" borderId="16" xfId="0" applyFont="1" applyFill="1" applyBorder="1" applyAlignment="1" applyProtection="1">
      <alignment horizontal="center"/>
      <protection locked="0"/>
    </xf>
    <xf numFmtId="0" fontId="32" fillId="0" borderId="17" xfId="0" applyFont="1" applyFill="1" applyBorder="1" applyAlignment="1" applyProtection="1">
      <alignment horizontal="center"/>
      <protection locked="0"/>
    </xf>
    <xf numFmtId="0" fontId="37" fillId="0" borderId="6" xfId="0" applyFont="1" applyFill="1" applyBorder="1" applyAlignment="1">
      <alignment horizontal="center" vertical="center"/>
    </xf>
    <xf numFmtId="0" fontId="37" fillId="0" borderId="0" xfId="0" applyFont="1" applyFill="1" applyBorder="1" applyAlignment="1">
      <alignment horizontal="right" vertical="center"/>
    </xf>
    <xf numFmtId="0" fontId="32" fillId="8" borderId="0" xfId="0" applyFont="1" applyFill="1" applyBorder="1" applyAlignment="1" applyProtection="1">
      <alignment horizontal="center" vertical="center"/>
      <protection locked="0"/>
    </xf>
    <xf numFmtId="0" fontId="32" fillId="8" borderId="1" xfId="0" applyFont="1" applyFill="1" applyBorder="1" applyAlignment="1" applyProtection="1">
      <alignment horizontal="center" vertical="center"/>
      <protection locked="0"/>
    </xf>
    <xf numFmtId="0" fontId="37"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10" fillId="0" borderId="12" xfId="0" applyFont="1" applyBorder="1" applyAlignment="1"/>
    <xf numFmtId="0" fontId="10" fillId="0" borderId="0" xfId="0" applyFont="1" applyBorder="1" applyAlignment="1"/>
    <xf numFmtId="0" fontId="10" fillId="0" borderId="10" xfId="0" applyFont="1" applyBorder="1" applyAlignment="1"/>
    <xf numFmtId="0" fontId="33" fillId="0" borderId="12" xfId="0" applyFont="1" applyFill="1" applyBorder="1" applyAlignment="1">
      <alignment vertical="center"/>
    </xf>
    <xf numFmtId="0" fontId="33" fillId="0" borderId="0" xfId="0" applyFont="1" applyFill="1" applyBorder="1" applyAlignment="1">
      <alignment vertical="center"/>
    </xf>
    <xf numFmtId="0" fontId="33" fillId="0" borderId="10" xfId="0" applyFont="1" applyFill="1" applyBorder="1" applyAlignment="1">
      <alignment vertical="center"/>
    </xf>
    <xf numFmtId="0" fontId="33" fillId="0" borderId="11" xfId="0" applyFont="1" applyFill="1" applyBorder="1" applyAlignment="1">
      <alignment vertical="top" wrapText="1"/>
    </xf>
    <xf numFmtId="0" fontId="33" fillId="0" borderId="7" xfId="0" applyFont="1" applyFill="1" applyBorder="1" applyAlignment="1">
      <alignment vertical="top" wrapText="1"/>
    </xf>
    <xf numFmtId="0" fontId="33" fillId="0" borderId="9" xfId="0" applyFont="1" applyFill="1" applyBorder="1" applyAlignment="1">
      <alignment vertical="top" wrapText="1"/>
    </xf>
    <xf numFmtId="0" fontId="33" fillId="0" borderId="12" xfId="0" applyFont="1" applyFill="1" applyBorder="1" applyAlignment="1">
      <alignment vertical="top" wrapText="1"/>
    </xf>
    <xf numFmtId="0" fontId="33" fillId="0" borderId="0" xfId="0" applyFont="1" applyFill="1" applyBorder="1" applyAlignment="1">
      <alignment vertical="top" wrapText="1"/>
    </xf>
    <xf numFmtId="0" fontId="33" fillId="0" borderId="10" xfId="0" applyFont="1" applyFill="1" applyBorder="1" applyAlignment="1">
      <alignment vertical="top" wrapText="1"/>
    </xf>
    <xf numFmtId="0" fontId="33" fillId="8" borderId="12" xfId="0" applyFont="1" applyFill="1" applyBorder="1" applyAlignment="1">
      <alignment horizontal="center" vertical="top" wrapText="1"/>
    </xf>
    <xf numFmtId="0" fontId="33" fillId="8" borderId="0" xfId="0" applyFont="1" applyFill="1" applyBorder="1" applyAlignment="1">
      <alignment horizontal="center" vertical="top" wrapText="1"/>
    </xf>
    <xf numFmtId="0" fontId="33" fillId="8" borderId="10" xfId="0" applyFont="1" applyFill="1" applyBorder="1" applyAlignment="1">
      <alignment horizontal="center" vertical="top" wrapText="1"/>
    </xf>
    <xf numFmtId="0" fontId="36" fillId="8" borderId="12" xfId="0" applyFont="1" applyFill="1" applyBorder="1" applyAlignment="1">
      <alignment horizontal="center" vertical="top" wrapText="1"/>
    </xf>
    <xf numFmtId="0" fontId="36" fillId="8" borderId="0" xfId="0" applyFont="1" applyFill="1" applyBorder="1" applyAlignment="1">
      <alignment horizontal="center" vertical="top" wrapText="1"/>
    </xf>
    <xf numFmtId="0" fontId="36" fillId="8" borderId="10" xfId="0" applyFont="1" applyFill="1" applyBorder="1" applyAlignment="1">
      <alignment horizontal="center" vertical="top" wrapText="1"/>
    </xf>
    <xf numFmtId="0" fontId="33" fillId="8" borderId="11" xfId="0" applyFont="1" applyFill="1" applyBorder="1" applyAlignment="1">
      <alignment horizontal="center" vertical="top"/>
    </xf>
    <xf numFmtId="0" fontId="33" fillId="8" borderId="7" xfId="0" applyFont="1" applyFill="1" applyBorder="1" applyAlignment="1">
      <alignment horizontal="center" vertical="top"/>
    </xf>
    <xf numFmtId="0" fontId="33" fillId="8" borderId="9" xfId="0" applyFont="1" applyFill="1" applyBorder="1" applyAlignment="1">
      <alignment horizontal="center" vertical="top"/>
    </xf>
    <xf numFmtId="0" fontId="33" fillId="8" borderId="12" xfId="0" applyFont="1" applyFill="1" applyBorder="1" applyAlignment="1">
      <alignment horizontal="center" vertical="top"/>
    </xf>
    <xf numFmtId="0" fontId="33" fillId="8" borderId="0" xfId="0" applyFont="1" applyFill="1" applyBorder="1" applyAlignment="1">
      <alignment horizontal="center" vertical="top"/>
    </xf>
    <xf numFmtId="0" fontId="33" fillId="8" borderId="10" xfId="0" applyFont="1" applyFill="1" applyBorder="1" applyAlignment="1">
      <alignment horizontal="center" vertical="top"/>
    </xf>
    <xf numFmtId="0" fontId="38" fillId="8" borderId="12" xfId="0" applyFont="1" applyFill="1" applyBorder="1" applyAlignment="1">
      <alignment horizontal="center" vertical="top" wrapText="1"/>
    </xf>
    <xf numFmtId="0" fontId="38" fillId="8" borderId="0" xfId="0" applyFont="1" applyFill="1" applyBorder="1" applyAlignment="1">
      <alignment horizontal="center" vertical="top" wrapText="1"/>
    </xf>
    <xf numFmtId="0" fontId="38" fillId="8" borderId="10" xfId="0" applyFont="1" applyFill="1" applyBorder="1" applyAlignment="1">
      <alignment horizontal="center" vertical="top" wrapText="1"/>
    </xf>
    <xf numFmtId="0" fontId="39" fillId="8" borderId="12" xfId="0" applyFont="1" applyFill="1" applyBorder="1" applyAlignment="1">
      <alignment horizontal="center" vertical="top"/>
    </xf>
    <xf numFmtId="0" fontId="39" fillId="8" borderId="0" xfId="0" applyFont="1" applyFill="1" applyBorder="1" applyAlignment="1">
      <alignment horizontal="center" vertical="top"/>
    </xf>
    <xf numFmtId="0" fontId="39" fillId="8" borderId="10" xfId="0" applyFont="1" applyFill="1" applyBorder="1" applyAlignment="1">
      <alignment horizontal="center" vertical="top"/>
    </xf>
    <xf numFmtId="0" fontId="32" fillId="0" borderId="12" xfId="0" applyFont="1" applyFill="1" applyBorder="1" applyAlignment="1">
      <alignment horizontal="right"/>
    </xf>
    <xf numFmtId="0" fontId="32" fillId="0" borderId="0" xfId="0" applyFont="1" applyFill="1" applyBorder="1" applyAlignment="1">
      <alignment horizontal="right"/>
    </xf>
    <xf numFmtId="0" fontId="32" fillId="0" borderId="10" xfId="0" applyFont="1" applyFill="1" applyBorder="1" applyAlignment="1">
      <alignment horizontal="right"/>
    </xf>
    <xf numFmtId="0" fontId="32" fillId="8" borderId="15" xfId="0" applyFont="1" applyFill="1" applyBorder="1" applyAlignment="1" applyProtection="1">
      <alignment horizontal="center"/>
      <protection locked="0"/>
    </xf>
    <xf numFmtId="0" fontId="32" fillId="8" borderId="16" xfId="0" applyFont="1" applyFill="1" applyBorder="1" applyAlignment="1" applyProtection="1">
      <alignment horizontal="center"/>
      <protection locked="0"/>
    </xf>
    <xf numFmtId="0" fontId="32" fillId="8" borderId="17" xfId="0" applyFont="1" applyFill="1" applyBorder="1" applyAlignment="1" applyProtection="1">
      <alignment horizontal="center"/>
      <protection locked="0"/>
    </xf>
    <xf numFmtId="0" fontId="13" fillId="4" borderId="15" xfId="0" applyFont="1" applyFill="1" applyBorder="1" applyAlignment="1">
      <alignment horizontal="center"/>
    </xf>
    <xf numFmtId="0" fontId="34" fillId="4" borderId="16" xfId="0" applyFont="1" applyFill="1" applyBorder="1" applyAlignment="1">
      <alignment horizontal="center"/>
    </xf>
    <xf numFmtId="0" fontId="34" fillId="4" borderId="17" xfId="0" applyFont="1" applyFill="1" applyBorder="1" applyAlignment="1">
      <alignment horizontal="center"/>
    </xf>
    <xf numFmtId="0" fontId="13" fillId="5" borderId="15" xfId="0" applyFont="1" applyFill="1" applyBorder="1" applyAlignment="1">
      <alignment horizontal="center"/>
    </xf>
    <xf numFmtId="0" fontId="13" fillId="5" borderId="16" xfId="0" applyFont="1" applyFill="1" applyBorder="1" applyAlignment="1">
      <alignment horizontal="center"/>
    </xf>
    <xf numFmtId="0" fontId="13" fillId="5" borderId="17" xfId="0" applyFont="1" applyFill="1" applyBorder="1" applyAlignment="1">
      <alignment horizontal="center"/>
    </xf>
    <xf numFmtId="0" fontId="13" fillId="6" borderId="15" xfId="0" applyFont="1" applyFill="1" applyBorder="1" applyAlignment="1">
      <alignment horizontal="center"/>
    </xf>
    <xf numFmtId="0" fontId="13" fillId="6" borderId="16" xfId="0" applyFont="1" applyFill="1" applyBorder="1" applyAlignment="1">
      <alignment horizontal="center"/>
    </xf>
    <xf numFmtId="0" fontId="13" fillId="6" borderId="17" xfId="0" applyFont="1" applyFill="1" applyBorder="1" applyAlignment="1">
      <alignment horizontal="center"/>
    </xf>
    <xf numFmtId="0" fontId="33" fillId="7" borderId="11" xfId="0" applyFont="1" applyFill="1" applyBorder="1" applyAlignment="1">
      <alignment vertical="top"/>
    </xf>
    <xf numFmtId="0" fontId="33" fillId="7" borderId="7" xfId="0" applyFont="1" applyFill="1" applyBorder="1" applyAlignment="1">
      <alignment vertical="top"/>
    </xf>
    <xf numFmtId="0" fontId="33" fillId="7" borderId="9" xfId="0" applyFont="1" applyFill="1" applyBorder="1" applyAlignment="1">
      <alignment vertical="top"/>
    </xf>
    <xf numFmtId="0" fontId="33" fillId="7" borderId="12" xfId="0" applyFont="1" applyFill="1" applyBorder="1" applyAlignment="1">
      <alignment vertical="top"/>
    </xf>
    <xf numFmtId="0" fontId="33" fillId="7" borderId="0" xfId="0" applyFont="1" applyFill="1" applyBorder="1" applyAlignment="1">
      <alignment vertical="top"/>
    </xf>
    <xf numFmtId="0" fontId="33" fillId="7" borderId="10" xfId="0" applyFont="1" applyFill="1" applyBorder="1" applyAlignment="1">
      <alignment vertical="top"/>
    </xf>
    <xf numFmtId="0" fontId="22" fillId="8" borderId="12" xfId="0" applyFont="1" applyFill="1" applyBorder="1" applyAlignment="1">
      <alignment horizontal="center" vertical="top" wrapText="1"/>
    </xf>
    <xf numFmtId="0" fontId="22" fillId="8" borderId="0" xfId="0" applyFont="1" applyFill="1" applyBorder="1" applyAlignment="1">
      <alignment horizontal="center" vertical="top" wrapText="1"/>
    </xf>
    <xf numFmtId="0" fontId="22" fillId="8" borderId="10" xfId="0" applyFont="1" applyFill="1" applyBorder="1" applyAlignment="1">
      <alignment horizontal="center" vertical="top" wrapText="1"/>
    </xf>
    <xf numFmtId="0" fontId="32" fillId="8" borderId="15" xfId="0" applyFont="1" applyFill="1" applyBorder="1" applyProtection="1">
      <protection locked="0"/>
    </xf>
    <xf numFmtId="0" fontId="32" fillId="8" borderId="16" xfId="0" applyFont="1" applyFill="1" applyBorder="1" applyProtection="1">
      <protection locked="0"/>
    </xf>
    <xf numFmtId="0" fontId="32" fillId="8" borderId="17" xfId="0" applyFont="1" applyFill="1" applyBorder="1" applyProtection="1">
      <protection locked="0"/>
    </xf>
    <xf numFmtId="0" fontId="33" fillId="0" borderId="12" xfId="0" applyFont="1" applyFill="1" applyBorder="1"/>
    <xf numFmtId="0" fontId="33" fillId="0" borderId="0" xfId="0" applyFont="1" applyFill="1" applyBorder="1"/>
    <xf numFmtId="0" fontId="32" fillId="0" borderId="0" xfId="0" applyFont="1" applyFill="1" applyBorder="1" applyAlignment="1">
      <alignment horizontal="center"/>
    </xf>
    <xf numFmtId="0" fontId="32" fillId="0" borderId="10" xfId="0" applyFont="1" applyFill="1" applyBorder="1" applyAlignment="1">
      <alignment horizontal="center"/>
    </xf>
    <xf numFmtId="0" fontId="32" fillId="0" borderId="7" xfId="0" applyFont="1" applyFill="1" applyBorder="1" applyAlignment="1">
      <alignment horizontal="center"/>
    </xf>
    <xf numFmtId="0" fontId="32" fillId="0" borderId="9" xfId="0" applyFont="1" applyFill="1" applyBorder="1" applyAlignment="1">
      <alignment horizontal="center"/>
    </xf>
    <xf numFmtId="0" fontId="13" fillId="0" borderId="12" xfId="0" applyFont="1" applyFill="1" applyBorder="1" applyAlignment="1"/>
    <xf numFmtId="0" fontId="13" fillId="0" borderId="0" xfId="0" applyFont="1" applyFill="1" applyBorder="1" applyAlignment="1"/>
    <xf numFmtId="0" fontId="33" fillId="8" borderId="15" xfId="0" applyFont="1" applyFill="1" applyBorder="1" applyProtection="1">
      <protection locked="0"/>
    </xf>
    <xf numFmtId="0" fontId="33" fillId="8" borderId="16" xfId="0" applyFont="1" applyFill="1" applyBorder="1" applyProtection="1">
      <protection locked="0"/>
    </xf>
    <xf numFmtId="0" fontId="33" fillId="8" borderId="17" xfId="0" applyFont="1" applyFill="1" applyBorder="1" applyProtection="1">
      <protection locked="0"/>
    </xf>
    <xf numFmtId="0" fontId="32" fillId="0" borderId="12" xfId="0" applyFont="1" applyFill="1" applyBorder="1" applyAlignment="1">
      <alignment horizontal="center"/>
    </xf>
    <xf numFmtId="0" fontId="6" fillId="0" borderId="12"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10" fillId="2" borderId="7" xfId="0" applyNumberFormat="1" applyFont="1" applyFill="1" applyBorder="1" applyAlignment="1" applyProtection="1">
      <alignment horizontal="center"/>
      <protection locked="0"/>
    </xf>
    <xf numFmtId="0" fontId="10" fillId="2" borderId="9" xfId="0" applyNumberFormat="1" applyFont="1" applyFill="1" applyBorder="1" applyAlignment="1" applyProtection="1">
      <alignment horizontal="center"/>
      <protection locked="0"/>
    </xf>
    <xf numFmtId="0" fontId="6" fillId="0" borderId="78" xfId="0" applyFont="1" applyBorder="1" applyAlignment="1">
      <alignment horizontal="left" vertical="center"/>
    </xf>
    <xf numFmtId="0" fontId="6" fillId="0" borderId="1" xfId="0" applyFont="1" applyBorder="1" applyAlignment="1">
      <alignment horizontal="left" vertical="center"/>
    </xf>
    <xf numFmtId="0" fontId="10" fillId="2" borderId="1" xfId="0" applyFont="1" applyFill="1" applyBorder="1" applyAlignment="1" applyProtection="1">
      <alignment horizontal="center"/>
      <protection locked="0"/>
    </xf>
    <xf numFmtId="0" fontId="10" fillId="2" borderId="87" xfId="0" applyFont="1" applyFill="1" applyBorder="1" applyAlignment="1" applyProtection="1">
      <alignment horizontal="center"/>
      <protection locked="0"/>
    </xf>
    <xf numFmtId="0" fontId="37" fillId="0" borderId="0" xfId="0" applyFont="1" applyFill="1" applyBorder="1" applyAlignment="1">
      <alignment horizontal="center"/>
    </xf>
    <xf numFmtId="0" fontId="36" fillId="8" borderId="12" xfId="0" applyFont="1" applyFill="1" applyBorder="1" applyAlignment="1">
      <alignment horizontal="center" vertical="top"/>
    </xf>
    <xf numFmtId="0" fontId="36" fillId="8" borderId="0" xfId="0" applyFont="1" applyFill="1" applyBorder="1" applyAlignment="1">
      <alignment horizontal="center" vertical="top"/>
    </xf>
    <xf numFmtId="0" fontId="36" fillId="8" borderId="10" xfId="0" applyFont="1" applyFill="1" applyBorder="1" applyAlignment="1">
      <alignment horizontal="center" vertical="top"/>
    </xf>
    <xf numFmtId="0" fontId="9" fillId="8" borderId="12" xfId="0" applyFont="1" applyFill="1" applyBorder="1" applyAlignment="1" applyProtection="1">
      <alignment horizontal="center" vertical="top" wrapText="1"/>
    </xf>
    <xf numFmtId="0" fontId="9" fillId="8" borderId="0" xfId="0" applyFont="1" applyFill="1" applyBorder="1" applyAlignment="1" applyProtection="1">
      <alignment horizontal="center" vertical="top" wrapText="1"/>
    </xf>
    <xf numFmtId="0" fontId="9" fillId="8" borderId="10" xfId="0" applyFont="1" applyFill="1" applyBorder="1" applyAlignment="1" applyProtection="1">
      <alignment horizontal="center" vertical="top" wrapText="1"/>
    </xf>
    <xf numFmtId="0" fontId="13" fillId="0" borderId="12" xfId="0" applyFont="1" applyFill="1" applyBorder="1" applyAlignment="1">
      <alignment horizontal="left"/>
    </xf>
    <xf numFmtId="0" fontId="13" fillId="0" borderId="0" xfId="0" applyFont="1" applyFill="1" applyBorder="1" applyAlignment="1">
      <alignment horizontal="left"/>
    </xf>
    <xf numFmtId="0" fontId="37" fillId="0" borderId="6" xfId="0" applyFont="1" applyFill="1" applyBorder="1" applyAlignment="1">
      <alignment horizontal="center"/>
    </xf>
    <xf numFmtId="0" fontId="32" fillId="2" borderId="0"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32" fillId="0" borderId="17" xfId="0" applyFont="1" applyFill="1" applyBorder="1" applyAlignment="1" applyProtection="1">
      <alignment horizontal="center" vertical="center"/>
      <protection locked="0"/>
    </xf>
    <xf numFmtId="0" fontId="53" fillId="8" borderId="11" xfId="0" applyFont="1" applyFill="1" applyBorder="1" applyAlignment="1">
      <alignment horizontal="center" vertical="top" wrapText="1"/>
    </xf>
    <xf numFmtId="0" fontId="53" fillId="8" borderId="7" xfId="0" applyFont="1" applyFill="1" applyBorder="1" applyAlignment="1">
      <alignment horizontal="center" vertical="top" wrapText="1"/>
    </xf>
    <xf numFmtId="0" fontId="53" fillId="8" borderId="9" xfId="0" applyFont="1" applyFill="1" applyBorder="1" applyAlignment="1">
      <alignment horizontal="center" vertical="top" wrapText="1"/>
    </xf>
    <xf numFmtId="0" fontId="10" fillId="2" borderId="11" xfId="0" applyFont="1" applyFill="1" applyBorder="1" applyAlignment="1" applyProtection="1">
      <alignment horizontal="center" wrapText="1"/>
    </xf>
    <xf numFmtId="0" fontId="10" fillId="2" borderId="7" xfId="0" applyFont="1" applyFill="1" applyBorder="1" applyAlignment="1" applyProtection="1">
      <alignment horizontal="center" wrapText="1"/>
    </xf>
    <xf numFmtId="0" fontId="10" fillId="2" borderId="9" xfId="0" applyFont="1" applyFill="1" applyBorder="1" applyAlignment="1" applyProtection="1">
      <alignment horizontal="center" wrapText="1"/>
    </xf>
    <xf numFmtId="0" fontId="10" fillId="2" borderId="12" xfId="0" applyFont="1" applyFill="1" applyBorder="1" applyAlignment="1" applyProtection="1">
      <alignment horizontal="center" wrapText="1"/>
    </xf>
    <xf numFmtId="0" fontId="10" fillId="2" borderId="0" xfId="0" applyFont="1" applyFill="1" applyBorder="1" applyAlignment="1" applyProtection="1">
      <alignment horizontal="center" wrapText="1"/>
    </xf>
    <xf numFmtId="0" fontId="10" fillId="2"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10" xfId="0" applyFont="1" applyFill="1" applyBorder="1" applyAlignment="1" applyProtection="1">
      <alignment horizontal="center"/>
    </xf>
    <xf numFmtId="0" fontId="6" fillId="0" borderId="100" xfId="0" applyFont="1" applyBorder="1" applyAlignment="1">
      <alignment horizontal="left" vertical="center"/>
    </xf>
    <xf numFmtId="0" fontId="6" fillId="0" borderId="91" xfId="0" applyFont="1" applyBorder="1" applyAlignment="1">
      <alignment horizontal="left" vertical="center"/>
    </xf>
    <xf numFmtId="0" fontId="6" fillId="0" borderId="84" xfId="0" applyFont="1" applyBorder="1" applyAlignment="1">
      <alignment horizontal="left" vertical="center"/>
    </xf>
    <xf numFmtId="0" fontId="6" fillId="0" borderId="85" xfId="0" applyFont="1" applyBorder="1" applyAlignment="1">
      <alignment horizontal="left" vertical="center"/>
    </xf>
    <xf numFmtId="0" fontId="6" fillId="0" borderId="86" xfId="0" applyFont="1" applyBorder="1" applyAlignment="1">
      <alignment horizontal="left" vertical="center"/>
    </xf>
    <xf numFmtId="0" fontId="6" fillId="2" borderId="12"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46" xfId="0" applyFont="1" applyFill="1" applyBorder="1" applyAlignment="1" applyProtection="1">
      <alignment horizontal="left" vertical="center"/>
      <protection locked="0"/>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7" fillId="2" borderId="0"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46" xfId="0" applyFont="1" applyFill="1" applyBorder="1" applyAlignment="1" applyProtection="1">
      <alignment horizont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80" xfId="0" applyFill="1" applyBorder="1" applyAlignment="1" applyProtection="1">
      <alignment horizontal="center" vertical="center"/>
      <protection locked="0"/>
    </xf>
    <xf numFmtId="0" fontId="0" fillId="2" borderId="82" xfId="0" applyFill="1" applyBorder="1" applyAlignment="1" applyProtection="1">
      <alignment horizontal="center" vertical="center"/>
      <protection locked="0"/>
    </xf>
    <xf numFmtId="0" fontId="0" fillId="2" borderId="81" xfId="0" applyFill="1" applyBorder="1" applyAlignment="1" applyProtection="1">
      <alignment horizontal="center" vertical="center"/>
      <protection locked="0"/>
    </xf>
    <xf numFmtId="0" fontId="0" fillId="2" borderId="100" xfId="0" applyFill="1" applyBorder="1" applyAlignment="1" applyProtection="1">
      <alignment horizontal="center" vertical="center"/>
      <protection locked="0"/>
    </xf>
    <xf numFmtId="0" fontId="0" fillId="2" borderId="85"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79" xfId="0" applyFill="1" applyBorder="1" applyAlignment="1" applyProtection="1">
      <alignment horizontal="center" vertical="center"/>
      <protection locked="0"/>
    </xf>
    <xf numFmtId="0" fontId="0" fillId="2" borderId="83"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6" fillId="0" borderId="2" xfId="0" applyFont="1" applyBorder="1" applyAlignment="1" applyProtection="1">
      <alignment horizontal="center" vertical="top"/>
    </xf>
    <xf numFmtId="0" fontId="6" fillId="0" borderId="0" xfId="0" applyFont="1" applyBorder="1" applyAlignment="1" applyProtection="1">
      <alignment horizontal="center" vertical="top"/>
    </xf>
    <xf numFmtId="0" fontId="6" fillId="0" borderId="3" xfId="0" applyFont="1" applyBorder="1" applyAlignment="1" applyProtection="1">
      <alignment horizontal="center" vertical="top"/>
    </xf>
    <xf numFmtId="0" fontId="6" fillId="0" borderId="98" xfId="0" applyFont="1" applyBorder="1" applyAlignment="1" applyProtection="1">
      <alignment horizontal="center" vertical="top"/>
    </xf>
    <xf numFmtId="0" fontId="6" fillId="0" borderId="99" xfId="0" applyFont="1" applyBorder="1" applyAlignment="1" applyProtection="1">
      <alignment horizontal="center" vertical="top"/>
    </xf>
    <xf numFmtId="0" fontId="6" fillId="0" borderId="11" xfId="0" applyFont="1" applyBorder="1" applyAlignment="1" applyProtection="1">
      <alignment horizontal="center" vertical="top"/>
    </xf>
    <xf numFmtId="0" fontId="6" fillId="0" borderId="7" xfId="0" applyFont="1" applyBorder="1" applyAlignment="1" applyProtection="1">
      <alignment horizontal="center" vertical="top"/>
    </xf>
    <xf numFmtId="0" fontId="6" fillId="0" borderId="44" xfId="0" applyFont="1" applyBorder="1" applyAlignment="1" applyProtection="1">
      <alignment horizontal="center" vertical="top"/>
    </xf>
    <xf numFmtId="0" fontId="6" fillId="0" borderId="12" xfId="0" applyFont="1" applyBorder="1" applyAlignment="1" applyProtection="1">
      <alignment horizontal="center" vertical="top"/>
    </xf>
    <xf numFmtId="0" fontId="6" fillId="0" borderId="43" xfId="0" applyFont="1" applyBorder="1" applyAlignment="1" applyProtection="1">
      <alignment horizontal="center" vertical="top" wrapText="1"/>
    </xf>
    <xf numFmtId="0" fontId="6" fillId="0" borderId="44" xfId="0" applyFont="1" applyBorder="1" applyAlignment="1" applyProtection="1">
      <alignment horizontal="center" vertical="top" wrapText="1"/>
    </xf>
    <xf numFmtId="0" fontId="6" fillId="0" borderId="2" xfId="0" applyFont="1" applyBorder="1" applyAlignment="1" applyProtection="1">
      <alignment horizontal="center" vertical="top" wrapText="1"/>
    </xf>
    <xf numFmtId="0" fontId="6" fillId="0" borderId="3" xfId="0" applyFont="1" applyBorder="1" applyAlignment="1" applyProtection="1">
      <alignment horizontal="center" vertical="top" wrapText="1"/>
    </xf>
    <xf numFmtId="0" fontId="6" fillId="0" borderId="43" xfId="0" applyFont="1" applyBorder="1" applyAlignment="1" applyProtection="1">
      <alignment horizontal="center" vertical="top"/>
    </xf>
    <xf numFmtId="0" fontId="6" fillId="0" borderId="7"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6" fillId="0" borderId="45" xfId="0" applyFont="1" applyBorder="1" applyAlignment="1" applyProtection="1">
      <alignment horizontal="center" vertical="top" wrapText="1"/>
    </xf>
    <xf numFmtId="0" fontId="6" fillId="0" borderId="8" xfId="0" applyFont="1" applyBorder="1" applyAlignment="1" applyProtection="1">
      <alignment horizontal="center" vertical="top" wrapText="1"/>
    </xf>
    <xf numFmtId="0" fontId="6" fillId="0" borderId="46" xfId="0" applyFont="1" applyBorder="1" applyAlignment="1" applyProtection="1">
      <alignment horizontal="center" vertical="top" wrapText="1"/>
    </xf>
    <xf numFmtId="0" fontId="0" fillId="0" borderId="93" xfId="0" applyBorder="1" applyAlignment="1" applyProtection="1">
      <alignment horizontal="center"/>
    </xf>
    <xf numFmtId="0" fontId="0" fillId="0" borderId="6" xfId="0" applyBorder="1" applyAlignment="1" applyProtection="1">
      <alignment horizontal="center"/>
    </xf>
    <xf numFmtId="0" fontId="0" fillId="0" borderId="94" xfId="0" applyBorder="1" applyAlignment="1" applyProtection="1">
      <alignment horizontal="center"/>
    </xf>
    <xf numFmtId="0" fontId="0" fillId="0" borderId="12" xfId="0" applyBorder="1" applyAlignment="1" applyProtection="1">
      <alignment horizontal="center"/>
    </xf>
    <xf numFmtId="0" fontId="0" fillId="0" borderId="0" xfId="0" applyBorder="1" applyAlignment="1" applyProtection="1">
      <alignment horizontal="center"/>
    </xf>
    <xf numFmtId="0" fontId="0" fillId="0" borderId="10" xfId="0" applyBorder="1" applyAlignment="1" applyProtection="1">
      <alignment horizontal="center"/>
    </xf>
    <xf numFmtId="0" fontId="6" fillId="0" borderId="12"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0" xfId="0" applyFont="1" applyBorder="1" applyAlignment="1" applyProtection="1">
      <alignment horizontal="left" vertical="center"/>
    </xf>
    <xf numFmtId="0" fontId="25" fillId="0" borderId="0" xfId="0" applyFont="1" applyBorder="1" applyAlignment="1" applyProtection="1">
      <alignment horizontal="center" wrapText="1"/>
    </xf>
    <xf numFmtId="0" fontId="25" fillId="0" borderId="8" xfId="0" applyFont="1" applyBorder="1" applyAlignment="1" applyProtection="1">
      <alignment horizontal="center" wrapText="1"/>
    </xf>
    <xf numFmtId="0" fontId="6" fillId="0" borderId="11" xfId="0" applyFont="1" applyBorder="1" applyAlignment="1" applyProtection="1">
      <alignment vertical="center"/>
    </xf>
    <xf numFmtId="0" fontId="6" fillId="0" borderId="7" xfId="0" applyFont="1" applyBorder="1" applyAlignment="1" applyProtection="1">
      <alignment vertical="center"/>
    </xf>
    <xf numFmtId="0" fontId="6" fillId="0" borderId="11"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78" xfId="0" applyFont="1" applyBorder="1" applyAlignment="1" applyProtection="1">
      <alignment vertical="center"/>
    </xf>
    <xf numFmtId="0" fontId="6" fillId="0" borderId="1" xfId="0" applyFont="1" applyBorder="1" applyAlignment="1" applyProtection="1">
      <alignment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5" fillId="0" borderId="12"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6" fillId="0" borderId="14" xfId="0" applyFont="1" applyBorder="1" applyAlignment="1">
      <alignment horizontal="center" vertical="center" wrapText="1"/>
    </xf>
    <xf numFmtId="0" fontId="10" fillId="0" borderId="7" xfId="0" applyFont="1" applyFill="1" applyBorder="1" applyAlignment="1" applyProtection="1">
      <alignment horizontal="center"/>
    </xf>
    <xf numFmtId="0" fontId="10" fillId="0" borderId="9" xfId="0" applyFont="1" applyFill="1" applyBorder="1" applyAlignment="1" applyProtection="1">
      <alignment horizontal="center"/>
    </xf>
    <xf numFmtId="0" fontId="6" fillId="0" borderId="78"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7"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87" xfId="0" applyFont="1" applyFill="1" applyBorder="1" applyAlignment="1" applyProtection="1">
      <alignment horizontal="left" vertical="center" wrapText="1"/>
    </xf>
    <xf numFmtId="0" fontId="6" fillId="0" borderId="93"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6" xfId="0" applyFont="1" applyBorder="1" applyAlignment="1" applyProtection="1">
      <alignment horizontal="left" vertical="center" wrapText="1"/>
    </xf>
    <xf numFmtId="0" fontId="6" fillId="0" borderId="94"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6" fillId="2" borderId="42" xfId="0" applyFont="1" applyFill="1" applyBorder="1" applyAlignment="1" applyProtection="1">
      <alignment horizontal="center" wrapText="1"/>
      <protection locked="0"/>
    </xf>
    <xf numFmtId="0" fontId="6" fillId="2" borderId="30" xfId="0" applyFont="1" applyFill="1" applyBorder="1" applyAlignment="1" applyProtection="1">
      <alignment horizontal="center" wrapText="1"/>
      <protection locked="0"/>
    </xf>
    <xf numFmtId="0" fontId="6" fillId="2" borderId="31" xfId="0" applyFont="1" applyFill="1" applyBorder="1" applyAlignment="1" applyProtection="1">
      <alignment horizontal="center" wrapText="1"/>
      <protection locked="0"/>
    </xf>
    <xf numFmtId="0" fontId="6" fillId="2" borderId="47" xfId="0" applyFont="1" applyFill="1" applyBorder="1" applyAlignment="1" applyProtection="1">
      <alignment horizontal="center" wrapText="1"/>
      <protection locked="0"/>
    </xf>
    <xf numFmtId="0" fontId="6" fillId="2" borderId="48" xfId="0" applyFont="1" applyFill="1" applyBorder="1" applyAlignment="1" applyProtection="1">
      <alignment horizontal="center" wrapText="1"/>
      <protection locked="0"/>
    </xf>
    <xf numFmtId="0" fontId="6" fillId="2" borderId="50" xfId="0" applyFont="1" applyFill="1" applyBorder="1" applyAlignment="1" applyProtection="1">
      <alignment horizontal="center" wrapText="1"/>
      <protection locked="0"/>
    </xf>
    <xf numFmtId="0" fontId="6" fillId="2" borderId="49" xfId="0" applyFont="1" applyFill="1" applyBorder="1" applyAlignment="1" applyProtection="1">
      <alignment horizontal="center" wrapText="1"/>
      <protection locked="0"/>
    </xf>
    <xf numFmtId="0" fontId="6" fillId="2" borderId="40" xfId="0" applyFont="1" applyFill="1" applyBorder="1" applyAlignment="1" applyProtection="1">
      <alignment horizontal="center" wrapText="1"/>
      <protection locked="0"/>
    </xf>
    <xf numFmtId="0" fontId="6" fillId="2" borderId="29" xfId="0" applyFont="1" applyFill="1" applyBorder="1" applyAlignment="1" applyProtection="1">
      <alignment horizontal="center" wrapText="1"/>
      <protection locked="0"/>
    </xf>
    <xf numFmtId="0" fontId="6" fillId="2" borderId="57" xfId="0" applyFont="1" applyFill="1" applyBorder="1" applyAlignment="1" applyProtection="1">
      <alignment horizontal="center" wrapText="1"/>
      <protection locked="0"/>
    </xf>
    <xf numFmtId="1" fontId="10" fillId="2" borderId="8" xfId="0" applyNumberFormat="1" applyFont="1" applyFill="1" applyBorder="1" applyAlignment="1" applyProtection="1">
      <alignment horizontal="center"/>
      <protection locked="0"/>
    </xf>
    <xf numFmtId="1" fontId="10" fillId="2" borderId="25" xfId="0" applyNumberFormat="1" applyFont="1" applyFill="1" applyBorder="1" applyAlignment="1" applyProtection="1">
      <alignment horizontal="center"/>
      <protection locked="0"/>
    </xf>
    <xf numFmtId="0" fontId="13" fillId="0" borderId="15" xfId="0" applyFont="1" applyBorder="1" applyAlignment="1">
      <alignment horizontal="center" vertical="top" wrapText="1"/>
    </xf>
    <xf numFmtId="0" fontId="13" fillId="0" borderId="16" xfId="0" applyFont="1" applyBorder="1" applyAlignment="1">
      <alignment horizontal="center" vertical="top" wrapText="1"/>
    </xf>
    <xf numFmtId="0" fontId="13" fillId="0" borderId="17" xfId="0" applyFont="1" applyBorder="1" applyAlignment="1">
      <alignment horizontal="center" vertical="top"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7" xfId="0" applyFont="1" applyBorder="1" applyAlignment="1">
      <alignment horizontal="center" vertical="center" wrapText="1"/>
    </xf>
    <xf numFmtId="0" fontId="6" fillId="2" borderId="28" xfId="0" applyFont="1" applyFill="1" applyBorder="1" applyAlignment="1" applyProtection="1">
      <alignment horizontal="center" vertical="center" wrapText="1"/>
      <protection locked="0"/>
    </xf>
    <xf numFmtId="0" fontId="6" fillId="0" borderId="13" xfId="0" applyFont="1" applyBorder="1" applyAlignment="1" applyProtection="1">
      <alignment horizontal="left" vertical="center"/>
    </xf>
    <xf numFmtId="0" fontId="6" fillId="0" borderId="8" xfId="0" applyFont="1" applyBorder="1" applyAlignment="1" applyProtection="1">
      <alignment horizontal="left" vertical="center"/>
    </xf>
    <xf numFmtId="0" fontId="13" fillId="0" borderId="11" xfId="0" applyFont="1" applyFill="1" applyBorder="1" applyAlignment="1" applyProtection="1">
      <alignment horizontal="center" vertical="top" wrapText="1"/>
    </xf>
    <xf numFmtId="0" fontId="13" fillId="0" borderId="7" xfId="0" applyFont="1" applyFill="1" applyBorder="1" applyAlignment="1" applyProtection="1">
      <alignment horizontal="center" vertical="top" wrapText="1"/>
    </xf>
    <xf numFmtId="0" fontId="13" fillId="0" borderId="9" xfId="0" applyFont="1" applyFill="1" applyBorder="1" applyAlignment="1" applyProtection="1">
      <alignment horizontal="center" vertical="top" wrapText="1"/>
    </xf>
    <xf numFmtId="0" fontId="13" fillId="0" borderId="12"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3" fillId="0" borderId="10" xfId="0" applyFont="1" applyFill="1" applyBorder="1" applyAlignment="1" applyProtection="1">
      <alignment horizontal="center" vertical="top" wrapText="1"/>
    </xf>
    <xf numFmtId="0" fontId="24" fillId="0" borderId="0" xfId="0" applyFont="1" applyBorder="1" applyAlignment="1" applyProtection="1">
      <alignment horizontal="left"/>
    </xf>
    <xf numFmtId="0" fontId="24" fillId="0" borderId="10" xfId="0" applyFont="1" applyBorder="1" applyAlignment="1" applyProtection="1">
      <alignment horizontal="left"/>
    </xf>
    <xf numFmtId="0" fontId="47" fillId="0" borderId="12"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78" xfId="0" applyFont="1" applyFill="1" applyBorder="1" applyAlignment="1" applyProtection="1">
      <alignment horizontal="center" vertical="center"/>
    </xf>
    <xf numFmtId="0" fontId="47" fillId="0" borderId="1" xfId="0" applyFont="1" applyFill="1" applyBorder="1" applyAlignment="1" applyProtection="1">
      <alignment horizontal="center" vertical="center"/>
    </xf>
    <xf numFmtId="167" fontId="24" fillId="0" borderId="2" xfId="0" applyNumberFormat="1" applyFont="1" applyBorder="1" applyAlignment="1" applyProtection="1">
      <alignment horizontal="left" wrapText="1"/>
    </xf>
    <xf numFmtId="167" fontId="24" fillId="0" borderId="0" xfId="0" applyNumberFormat="1" applyFont="1" applyBorder="1" applyAlignment="1" applyProtection="1">
      <alignment horizontal="left" wrapText="1"/>
    </xf>
    <xf numFmtId="167" fontId="24" fillId="0" borderId="10" xfId="0" applyNumberFormat="1" applyFont="1" applyBorder="1" applyAlignment="1" applyProtection="1">
      <alignment horizontal="left" wrapText="1"/>
    </xf>
    <xf numFmtId="0" fontId="24" fillId="0" borderId="6" xfId="0" applyFont="1" applyBorder="1" applyAlignment="1" applyProtection="1">
      <alignment horizontal="left"/>
    </xf>
    <xf numFmtId="0" fontId="24" fillId="0" borderId="0" xfId="0" applyFont="1" applyBorder="1" applyAlignment="1" applyProtection="1">
      <alignment vertical="center" wrapText="1"/>
    </xf>
    <xf numFmtId="1" fontId="24" fillId="9" borderId="23" xfId="0" applyNumberFormat="1" applyFont="1" applyFill="1" applyBorder="1" applyAlignment="1" applyProtection="1">
      <alignment horizontal="center"/>
      <protection locked="0"/>
    </xf>
    <xf numFmtId="1" fontId="24" fillId="9" borderId="22" xfId="0" applyNumberFormat="1" applyFont="1" applyFill="1" applyBorder="1" applyAlignment="1" applyProtection="1">
      <alignment horizontal="center"/>
      <protection locked="0"/>
    </xf>
    <xf numFmtId="1" fontId="24" fillId="9" borderId="24" xfId="0" applyNumberFormat="1" applyFont="1" applyFill="1" applyBorder="1" applyAlignment="1" applyProtection="1">
      <alignment horizontal="center"/>
      <protection locked="0"/>
    </xf>
    <xf numFmtId="1" fontId="24" fillId="9" borderId="23" xfId="0" applyNumberFormat="1" applyFont="1" applyFill="1" applyBorder="1" applyAlignment="1" applyProtection="1">
      <alignment horizontal="center" wrapText="1"/>
      <protection locked="0"/>
    </xf>
    <xf numFmtId="1" fontId="24" fillId="9" borderId="24" xfId="0" applyNumberFormat="1" applyFont="1" applyFill="1" applyBorder="1" applyAlignment="1" applyProtection="1">
      <alignment horizontal="center" wrapText="1"/>
      <protection locked="0"/>
    </xf>
    <xf numFmtId="0" fontId="24" fillId="0" borderId="0" xfId="0" applyFont="1" applyFill="1" applyBorder="1" applyAlignment="1" applyProtection="1">
      <alignment horizontal="left" vertical="center"/>
    </xf>
    <xf numFmtId="167" fontId="24" fillId="0" borderId="102" xfId="0" quotePrefix="1" applyNumberFormat="1" applyFont="1" applyFill="1" applyBorder="1" applyAlignment="1" applyProtection="1">
      <alignment horizontal="center"/>
    </xf>
    <xf numFmtId="0" fontId="24" fillId="0" borderId="0" xfId="0" applyFont="1" applyBorder="1" applyAlignment="1" applyProtection="1">
      <alignment horizontal="left" vertical="center" wrapText="1"/>
    </xf>
    <xf numFmtId="167" fontId="24" fillId="0" borderId="102" xfId="0" applyNumberFormat="1" applyFont="1" applyBorder="1" applyAlignment="1" applyProtection="1">
      <alignment horizontal="center" wrapText="1"/>
    </xf>
    <xf numFmtId="0" fontId="22" fillId="0" borderId="0" xfId="0" applyFont="1" applyBorder="1" applyAlignment="1" applyProtection="1">
      <alignment horizontal="left"/>
    </xf>
    <xf numFmtId="0" fontId="22" fillId="0" borderId="2" xfId="0" applyFont="1" applyBorder="1" applyAlignment="1" applyProtection="1">
      <alignment horizontal="left"/>
    </xf>
    <xf numFmtId="165" fontId="24" fillId="0" borderId="0" xfId="0" applyNumberFormat="1" applyFont="1" applyBorder="1" applyAlignment="1" applyProtection="1">
      <alignment horizontal="left" vertical="top" wrapText="1"/>
    </xf>
    <xf numFmtId="165" fontId="24" fillId="0" borderId="3" xfId="0" applyNumberFormat="1" applyFont="1" applyBorder="1" applyAlignment="1" applyProtection="1">
      <alignment horizontal="left" vertical="top" wrapText="1"/>
    </xf>
    <xf numFmtId="165" fontId="24" fillId="0" borderId="6" xfId="0" applyNumberFormat="1" applyFont="1" applyBorder="1" applyAlignment="1" applyProtection="1">
      <alignment horizontal="left" vertical="center" wrapText="1"/>
    </xf>
    <xf numFmtId="0" fontId="12" fillId="2" borderId="15"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165" fontId="24" fillId="0" borderId="0" xfId="0" applyNumberFormat="1" applyFont="1" applyBorder="1" applyAlignment="1" applyProtection="1">
      <alignment horizontal="left" vertical="center" wrapText="1"/>
    </xf>
    <xf numFmtId="166" fontId="24" fillId="0" borderId="102" xfId="0" applyNumberFormat="1" applyFont="1" applyFill="1" applyBorder="1" applyAlignment="1" applyProtection="1">
      <alignment horizontal="center"/>
    </xf>
    <xf numFmtId="1" fontId="24" fillId="0" borderId="101" xfId="0" applyNumberFormat="1" applyFont="1" applyFill="1" applyBorder="1" applyAlignment="1" applyProtection="1">
      <alignment horizontal="center"/>
    </xf>
    <xf numFmtId="3" fontId="24" fillId="9" borderId="23" xfId="0" applyNumberFormat="1" applyFont="1" applyFill="1" applyBorder="1" applyAlignment="1" applyProtection="1">
      <alignment horizontal="center"/>
      <protection locked="0"/>
    </xf>
    <xf numFmtId="3" fontId="24" fillId="9" borderId="22" xfId="0" applyNumberFormat="1" applyFont="1" applyFill="1" applyBorder="1" applyAlignment="1" applyProtection="1">
      <alignment horizontal="center"/>
      <protection locked="0"/>
    </xf>
    <xf numFmtId="3" fontId="24" fillId="9" borderId="24" xfId="0" applyNumberFormat="1" applyFont="1" applyFill="1" applyBorder="1" applyAlignment="1" applyProtection="1">
      <alignment horizontal="center"/>
      <protection locked="0"/>
    </xf>
    <xf numFmtId="0" fontId="24" fillId="0" borderId="83" xfId="0" applyFont="1" applyBorder="1" applyAlignment="1" applyProtection="1">
      <alignment horizontal="left" vertical="center" wrapText="1"/>
    </xf>
    <xf numFmtId="0" fontId="24" fillId="0" borderId="81" xfId="0" applyFont="1" applyBorder="1" applyAlignment="1" applyProtection="1">
      <alignment horizontal="left" vertical="center" wrapText="1"/>
    </xf>
    <xf numFmtId="0" fontId="24" fillId="0" borderId="97" xfId="0" applyFont="1" applyBorder="1" applyAlignment="1" applyProtection="1">
      <alignment horizontal="left" vertical="center" wrapText="1"/>
    </xf>
    <xf numFmtId="0" fontId="24" fillId="0" borderId="6" xfId="0" applyFont="1" applyBorder="1" applyAlignment="1" applyProtection="1">
      <alignment horizontal="left" vertical="center"/>
    </xf>
    <xf numFmtId="0" fontId="24" fillId="0" borderId="6"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0" fontId="24" fillId="0" borderId="0" xfId="0" applyFont="1" applyBorder="1" applyAlignment="1" applyProtection="1">
      <alignment horizontal="left" vertical="center"/>
    </xf>
    <xf numFmtId="165" fontId="6" fillId="0" borderId="93" xfId="0" applyNumberFormat="1" applyFont="1" applyBorder="1" applyAlignment="1" applyProtection="1">
      <alignment horizontal="left" vertical="center"/>
    </xf>
    <xf numFmtId="165" fontId="6" fillId="0" borderId="6" xfId="0" applyNumberFormat="1" applyFont="1" applyBorder="1" applyAlignment="1" applyProtection="1">
      <alignment horizontal="left" vertical="center"/>
    </xf>
    <xf numFmtId="0" fontId="50" fillId="2" borderId="78" xfId="0" applyFont="1" applyFill="1" applyBorder="1" applyAlignment="1" applyProtection="1">
      <alignment horizontal="left" vertical="top" wrapText="1"/>
      <protection locked="0"/>
    </xf>
    <xf numFmtId="0" fontId="50" fillId="2" borderId="1" xfId="0" applyFont="1" applyFill="1" applyBorder="1" applyAlignment="1" applyProtection="1">
      <alignment horizontal="left" vertical="top" wrapText="1"/>
      <protection locked="0"/>
    </xf>
    <xf numFmtId="0" fontId="50" fillId="2" borderId="87" xfId="0" applyFont="1" applyFill="1" applyBorder="1" applyAlignment="1" applyProtection="1">
      <alignment horizontal="left" vertical="top" wrapText="1"/>
      <protection locked="0"/>
    </xf>
    <xf numFmtId="3" fontId="24" fillId="0" borderId="104" xfId="0" applyNumberFormat="1" applyFont="1" applyBorder="1" applyAlignment="1" applyProtection="1">
      <alignment horizontal="center"/>
    </xf>
    <xf numFmtId="3" fontId="24" fillId="0" borderId="102" xfId="0" applyNumberFormat="1" applyFont="1" applyBorder="1" applyAlignment="1" applyProtection="1">
      <alignment horizontal="center"/>
    </xf>
    <xf numFmtId="0" fontId="24" fillId="0" borderId="3" xfId="0" applyFont="1" applyBorder="1" applyAlignment="1" applyProtection="1">
      <alignment vertical="center" wrapText="1"/>
    </xf>
    <xf numFmtId="0" fontId="24" fillId="9" borderId="23" xfId="0" applyFont="1" applyFill="1" applyBorder="1" applyAlignment="1" applyProtection="1">
      <alignment horizontal="center"/>
      <protection locked="0"/>
    </xf>
    <xf numFmtId="0" fontId="24" fillId="9" borderId="24" xfId="0" applyFont="1" applyFill="1" applyBorder="1" applyAlignment="1" applyProtection="1">
      <alignment horizontal="center"/>
      <protection locked="0"/>
    </xf>
    <xf numFmtId="0" fontId="24" fillId="0" borderId="2" xfId="0" applyFont="1" applyBorder="1" applyAlignment="1" applyProtection="1">
      <alignment horizontal="left"/>
    </xf>
    <xf numFmtId="167" fontId="24" fillId="9" borderId="23" xfId="0" applyNumberFormat="1" applyFont="1" applyFill="1" applyBorder="1" applyAlignment="1" applyProtection="1">
      <alignment horizontal="center"/>
      <protection locked="0"/>
    </xf>
    <xf numFmtId="167" fontId="24" fillId="9" borderId="22" xfId="0" applyNumberFormat="1" applyFont="1" applyFill="1" applyBorder="1" applyAlignment="1" applyProtection="1">
      <alignment horizontal="center"/>
      <protection locked="0"/>
    </xf>
    <xf numFmtId="167" fontId="24" fillId="9" borderId="24" xfId="0" applyNumberFormat="1" applyFont="1" applyFill="1" applyBorder="1" applyAlignment="1" applyProtection="1">
      <alignment horizontal="center"/>
      <protection locked="0"/>
    </xf>
    <xf numFmtId="164" fontId="24" fillId="0" borderId="0" xfId="0" applyNumberFormat="1" applyFont="1" applyBorder="1" applyAlignment="1" applyProtection="1">
      <alignment horizontal="left" vertical="center"/>
    </xf>
    <xf numFmtId="2" fontId="24" fillId="0" borderId="102" xfId="0" quotePrefix="1" applyNumberFormat="1" applyFont="1" applyBorder="1" applyAlignment="1" applyProtection="1">
      <alignment horizontal="center"/>
    </xf>
    <xf numFmtId="0" fontId="24" fillId="0" borderId="3" xfId="0" applyFont="1" applyBorder="1" applyAlignment="1" applyProtection="1">
      <alignment horizontal="left" vertical="center"/>
    </xf>
    <xf numFmtId="1" fontId="24" fillId="9" borderId="18" xfId="0" applyNumberFormat="1" applyFont="1" applyFill="1" applyBorder="1" applyAlignment="1" applyProtection="1">
      <alignment horizontal="center" wrapText="1"/>
      <protection locked="0"/>
    </xf>
    <xf numFmtId="0" fontId="24" fillId="0" borderId="0" xfId="0" applyFont="1" applyBorder="1" applyAlignment="1" applyProtection="1">
      <alignment horizontal="center" vertical="center"/>
    </xf>
    <xf numFmtId="169" fontId="24" fillId="10" borderId="23" xfId="0" quotePrefix="1" applyNumberFormat="1" applyFont="1" applyFill="1" applyBorder="1" applyAlignment="1" applyProtection="1">
      <alignment horizontal="center"/>
      <protection locked="0"/>
    </xf>
    <xf numFmtId="169" fontId="24" fillId="10" borderId="22" xfId="0" quotePrefix="1" applyNumberFormat="1" applyFont="1" applyFill="1" applyBorder="1" applyAlignment="1" applyProtection="1">
      <alignment horizontal="center"/>
      <protection locked="0"/>
    </xf>
    <xf numFmtId="169" fontId="24" fillId="10" borderId="24" xfId="0" quotePrefix="1" applyNumberFormat="1" applyFont="1" applyFill="1" applyBorder="1" applyAlignment="1" applyProtection="1">
      <alignment horizontal="center"/>
      <protection locked="0"/>
    </xf>
    <xf numFmtId="1" fontId="24" fillId="0" borderId="18" xfId="0" applyNumberFormat="1" applyFont="1" applyFill="1" applyBorder="1" applyAlignment="1" applyProtection="1">
      <alignment horizontal="center"/>
      <protection locked="0"/>
    </xf>
    <xf numFmtId="0" fontId="24" fillId="0" borderId="18" xfId="0" applyFont="1" applyFill="1" applyBorder="1" applyAlignment="1" applyProtection="1">
      <alignment horizontal="center"/>
      <protection locked="0"/>
    </xf>
    <xf numFmtId="1" fontId="24" fillId="9" borderId="18" xfId="0" applyNumberFormat="1" applyFont="1" applyFill="1" applyBorder="1" applyAlignment="1" applyProtection="1">
      <alignment horizontal="center"/>
      <protection locked="0"/>
    </xf>
    <xf numFmtId="0" fontId="10" fillId="0" borderId="0" xfId="0" applyFont="1" applyBorder="1" applyAlignment="1" applyProtection="1">
      <alignment horizontal="left"/>
    </xf>
    <xf numFmtId="0" fontId="1" fillId="0" borderId="6" xfId="0" applyFont="1" applyBorder="1" applyAlignment="1" applyProtection="1">
      <alignment horizontal="center" vertical="center"/>
    </xf>
    <xf numFmtId="0" fontId="2" fillId="0" borderId="103" xfId="0" applyFont="1" applyBorder="1" applyAlignment="1" applyProtection="1">
      <alignment horizontal="center" vertical="center" wrapText="1"/>
    </xf>
    <xf numFmtId="3" fontId="24" fillId="0" borderId="18" xfId="0" applyNumberFormat="1" applyFont="1" applyFill="1" applyBorder="1" applyAlignment="1" applyProtection="1">
      <alignment horizontal="center"/>
      <protection locked="0"/>
    </xf>
    <xf numFmtId="0" fontId="24" fillId="0" borderId="0" xfId="0" applyFont="1" applyBorder="1" applyAlignment="1" applyProtection="1">
      <alignment horizontal="right" vertical="top" wrapText="1"/>
    </xf>
    <xf numFmtId="0" fontId="24" fillId="9" borderId="23" xfId="0" applyFont="1" applyFill="1" applyBorder="1" applyAlignment="1" applyProtection="1">
      <alignment horizontal="center" wrapText="1"/>
      <protection locked="0"/>
    </xf>
    <xf numFmtId="0" fontId="24" fillId="9" borderId="22" xfId="0" applyFont="1" applyFill="1" applyBorder="1" applyAlignment="1" applyProtection="1">
      <alignment horizontal="center" wrapText="1"/>
      <protection locked="0"/>
    </xf>
    <xf numFmtId="0" fontId="24" fillId="9" borderId="24" xfId="0" applyFont="1" applyFill="1" applyBorder="1" applyAlignment="1" applyProtection="1">
      <alignment horizontal="center" wrapText="1"/>
      <protection locked="0"/>
    </xf>
    <xf numFmtId="0" fontId="24" fillId="0" borderId="102" xfId="0" applyFont="1" applyFill="1" applyBorder="1" applyAlignment="1" applyProtection="1">
      <alignment horizontal="center" wrapText="1"/>
    </xf>
    <xf numFmtId="0" fontId="24" fillId="0" borderId="0" xfId="0" applyFont="1" applyBorder="1" applyAlignment="1" applyProtection="1">
      <alignment horizontal="right" vertical="center" wrapText="1"/>
    </xf>
    <xf numFmtId="167" fontId="24" fillId="0" borderId="101" xfId="0" applyNumberFormat="1" applyFont="1" applyFill="1" applyBorder="1" applyAlignment="1" applyProtection="1">
      <alignment horizontal="center"/>
    </xf>
    <xf numFmtId="0" fontId="24" fillId="0" borderId="0" xfId="0" applyFont="1" applyBorder="1" applyAlignment="1" applyProtection="1"/>
    <xf numFmtId="167" fontId="24" fillId="0" borderId="101" xfId="1" applyNumberFormat="1" applyFont="1" applyFill="1" applyBorder="1" applyAlignment="1" applyProtection="1">
      <alignment horizontal="center"/>
    </xf>
    <xf numFmtId="1" fontId="24" fillId="0" borderId="102" xfId="0" applyNumberFormat="1" applyFont="1" applyFill="1" applyBorder="1" applyAlignment="1" applyProtection="1">
      <alignment horizontal="center"/>
    </xf>
    <xf numFmtId="167" fontId="24" fillId="0" borderId="102" xfId="0" applyNumberFormat="1" applyFont="1" applyFill="1" applyBorder="1" applyAlignment="1" applyProtection="1">
      <alignment horizontal="center"/>
    </xf>
  </cellXfs>
  <cellStyles count="2">
    <cellStyle name="Prozent" xfId="1" builtinId="5"/>
    <cellStyle name="Standard" xfId="0" builtinId="0"/>
  </cellStyles>
  <dxfs count="0"/>
  <tableStyles count="0" defaultTableStyle="TableStyleMedium9" defaultPivotStyle="PivotStyleLight16"/>
  <colors>
    <mruColors>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9526</xdr:colOff>
      <xdr:row>26</xdr:row>
      <xdr:rowOff>9527</xdr:rowOff>
    </xdr:from>
    <xdr:to>
      <xdr:col>8</xdr:col>
      <xdr:colOff>10584</xdr:colOff>
      <xdr:row>29</xdr:row>
      <xdr:rowOff>0</xdr:rowOff>
    </xdr:to>
    <xdr:cxnSp macro="">
      <xdr:nvCxnSpPr>
        <xdr:cNvPr id="4" name="Gerade Verbindung 3"/>
        <xdr:cNvCxnSpPr/>
      </xdr:nvCxnSpPr>
      <xdr:spPr>
        <a:xfrm flipH="1" flipV="1">
          <a:off x="9526" y="9182102"/>
          <a:ext cx="2477558" cy="647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B1:M42"/>
  <sheetViews>
    <sheetView showGridLines="0" tabSelected="1" zoomScaleNormal="100" workbookViewId="0">
      <selection activeCell="O21" sqref="O21"/>
    </sheetView>
  </sheetViews>
  <sheetFormatPr baseColWidth="10" defaultRowHeight="12.75"/>
  <cols>
    <col min="1" max="1" width="2.42578125" customWidth="1"/>
  </cols>
  <sheetData>
    <row r="1" spans="2:13" ht="13.5" thickBot="1"/>
    <row r="2" spans="2:13" ht="12.75" customHeight="1">
      <c r="B2" s="436" t="str">
        <f>VLOOKUP("mainrulesppapelaboration",Translations!$A:$T,MATCH(PSW!AO7,Translations!A1:P1,0),0)</f>
        <v>Important rules to be considered during PPAP elaboration:</v>
      </c>
      <c r="C2" s="437"/>
      <c r="D2" s="437"/>
      <c r="E2" s="437"/>
      <c r="F2" s="437"/>
      <c r="G2" s="437"/>
      <c r="H2" s="437"/>
      <c r="I2" s="437"/>
      <c r="J2" s="437"/>
      <c r="K2" s="437"/>
      <c r="L2" s="437"/>
      <c r="M2" s="438"/>
    </row>
    <row r="3" spans="2:13" ht="12.75" customHeight="1">
      <c r="B3" s="439"/>
      <c r="C3" s="440"/>
      <c r="D3" s="440"/>
      <c r="E3" s="440"/>
      <c r="F3" s="440"/>
      <c r="G3" s="440"/>
      <c r="H3" s="440"/>
      <c r="I3" s="440"/>
      <c r="J3" s="440"/>
      <c r="K3" s="440"/>
      <c r="L3" s="440"/>
      <c r="M3" s="441"/>
    </row>
    <row r="4" spans="2:13" ht="13.5" thickBot="1">
      <c r="B4" s="442"/>
      <c r="C4" s="443"/>
      <c r="D4" s="443"/>
      <c r="E4" s="443"/>
      <c r="F4" s="443"/>
      <c r="G4" s="443"/>
      <c r="H4" s="443"/>
      <c r="I4" s="443"/>
      <c r="J4" s="443"/>
      <c r="K4" s="443"/>
      <c r="L4" s="443"/>
      <c r="M4" s="444"/>
    </row>
    <row r="5" spans="2:13" ht="12.75" customHeight="1">
      <c r="B5" s="445" t="str">
        <f>VLOOKUP("rulesforppap",Translations!$A:$T,MATCH(PSW!AO7,Translations!A1:P1,0),0)</f>
        <v xml:space="preserve">
- Initial Sample parts must be produced with the final serial process under serial process conditions. All
  deviations herefrom need to be communicated to MANN+HUMMEL.
- Alternative PPAP templates can be used if equivalent to these sheets.
- Deviations from requirements (e.g. dimensional, material) have to be described in a Deviation Permit
  and submited to the contact person from MANN+HUMMEL prior to sending the PPAP to
  MANN+HUMMEL. Actions have to be defined accordingly.
- All sheets have to filled and the same sequence for the documentation as described in sheet
  "Content" shall be kept.
- The documents to be submited to MANN+HUMMEL are defined in the corresponding PRFPP (see
  Submittion Level)
- Detailed information regarding PPAP procedure can be found in the PPAP manual.
- Additional documents to be submitted with this PPAP package: see relevant PRFPP for your product.</v>
      </c>
      <c r="C5" s="446"/>
      <c r="D5" s="446"/>
      <c r="E5" s="446"/>
      <c r="F5" s="446"/>
      <c r="G5" s="446"/>
      <c r="H5" s="446"/>
      <c r="I5" s="446"/>
      <c r="J5" s="446"/>
      <c r="K5" s="446"/>
      <c r="L5" s="446"/>
      <c r="M5" s="447"/>
    </row>
    <row r="6" spans="2:13" ht="12.75" customHeight="1">
      <c r="B6" s="448"/>
      <c r="C6" s="449"/>
      <c r="D6" s="449"/>
      <c r="E6" s="449"/>
      <c r="F6" s="449"/>
      <c r="G6" s="449"/>
      <c r="H6" s="449"/>
      <c r="I6" s="449"/>
      <c r="J6" s="449"/>
      <c r="K6" s="449"/>
      <c r="L6" s="449"/>
      <c r="M6" s="450"/>
    </row>
    <row r="7" spans="2:13" ht="12.75" customHeight="1">
      <c r="B7" s="448"/>
      <c r="C7" s="449"/>
      <c r="D7" s="449"/>
      <c r="E7" s="449"/>
      <c r="F7" s="449"/>
      <c r="G7" s="449"/>
      <c r="H7" s="449"/>
      <c r="I7" s="449"/>
      <c r="J7" s="449"/>
      <c r="K7" s="449"/>
      <c r="L7" s="449"/>
      <c r="M7" s="450"/>
    </row>
    <row r="8" spans="2:13" ht="12.75" customHeight="1">
      <c r="B8" s="448"/>
      <c r="C8" s="449"/>
      <c r="D8" s="449"/>
      <c r="E8" s="449"/>
      <c r="F8" s="449"/>
      <c r="G8" s="449"/>
      <c r="H8" s="449"/>
      <c r="I8" s="449"/>
      <c r="J8" s="449"/>
      <c r="K8" s="449"/>
      <c r="L8" s="449"/>
      <c r="M8" s="450"/>
    </row>
    <row r="9" spans="2:13" ht="12.75" customHeight="1">
      <c r="B9" s="448"/>
      <c r="C9" s="449"/>
      <c r="D9" s="449"/>
      <c r="E9" s="449"/>
      <c r="F9" s="449"/>
      <c r="G9" s="449"/>
      <c r="H9" s="449"/>
      <c r="I9" s="449"/>
      <c r="J9" s="449"/>
      <c r="K9" s="449"/>
      <c r="L9" s="449"/>
      <c r="M9" s="450"/>
    </row>
    <row r="10" spans="2:13" ht="12.75" customHeight="1">
      <c r="B10" s="448"/>
      <c r="C10" s="449"/>
      <c r="D10" s="449"/>
      <c r="E10" s="449"/>
      <c r="F10" s="449"/>
      <c r="G10" s="449"/>
      <c r="H10" s="449"/>
      <c r="I10" s="449"/>
      <c r="J10" s="449"/>
      <c r="K10" s="449"/>
      <c r="L10" s="449"/>
      <c r="M10" s="450"/>
    </row>
    <row r="11" spans="2:13" ht="12.75" customHeight="1">
      <c r="B11" s="448"/>
      <c r="C11" s="449"/>
      <c r="D11" s="449"/>
      <c r="E11" s="449"/>
      <c r="F11" s="449"/>
      <c r="G11" s="449"/>
      <c r="H11" s="449"/>
      <c r="I11" s="449"/>
      <c r="J11" s="449"/>
      <c r="K11" s="449"/>
      <c r="L11" s="449"/>
      <c r="M11" s="450"/>
    </row>
    <row r="12" spans="2:13" ht="12.75" customHeight="1">
      <c r="B12" s="448"/>
      <c r="C12" s="449"/>
      <c r="D12" s="449"/>
      <c r="E12" s="449"/>
      <c r="F12" s="449"/>
      <c r="G12" s="449"/>
      <c r="H12" s="449"/>
      <c r="I12" s="449"/>
      <c r="J12" s="449"/>
      <c r="K12" s="449"/>
      <c r="L12" s="449"/>
      <c r="M12" s="450"/>
    </row>
    <row r="13" spans="2:13" ht="12.75" customHeight="1">
      <c r="B13" s="448"/>
      <c r="C13" s="449"/>
      <c r="D13" s="449"/>
      <c r="E13" s="449"/>
      <c r="F13" s="449"/>
      <c r="G13" s="449"/>
      <c r="H13" s="449"/>
      <c r="I13" s="449"/>
      <c r="J13" s="449"/>
      <c r="K13" s="449"/>
      <c r="L13" s="449"/>
      <c r="M13" s="450"/>
    </row>
    <row r="14" spans="2:13" ht="12.75" customHeight="1">
      <c r="B14" s="448"/>
      <c r="C14" s="449"/>
      <c r="D14" s="449"/>
      <c r="E14" s="449"/>
      <c r="F14" s="449"/>
      <c r="G14" s="449"/>
      <c r="H14" s="449"/>
      <c r="I14" s="449"/>
      <c r="J14" s="449"/>
      <c r="K14" s="449"/>
      <c r="L14" s="449"/>
      <c r="M14" s="450"/>
    </row>
    <row r="15" spans="2:13" ht="12.75" customHeight="1">
      <c r="B15" s="448"/>
      <c r="C15" s="449"/>
      <c r="D15" s="449"/>
      <c r="E15" s="449"/>
      <c r="F15" s="449"/>
      <c r="G15" s="449"/>
      <c r="H15" s="449"/>
      <c r="I15" s="449"/>
      <c r="J15" s="449"/>
      <c r="K15" s="449"/>
      <c r="L15" s="449"/>
      <c r="M15" s="450"/>
    </row>
    <row r="16" spans="2:13" ht="12.75" customHeight="1">
      <c r="B16" s="448"/>
      <c r="C16" s="449"/>
      <c r="D16" s="449"/>
      <c r="E16" s="449"/>
      <c r="F16" s="449"/>
      <c r="G16" s="449"/>
      <c r="H16" s="449"/>
      <c r="I16" s="449"/>
      <c r="J16" s="449"/>
      <c r="K16" s="449"/>
      <c r="L16" s="449"/>
      <c r="M16" s="450"/>
    </row>
    <row r="17" spans="2:13" ht="12.75" customHeight="1">
      <c r="B17" s="448"/>
      <c r="C17" s="449"/>
      <c r="D17" s="449"/>
      <c r="E17" s="449"/>
      <c r="F17" s="449"/>
      <c r="G17" s="449"/>
      <c r="H17" s="449"/>
      <c r="I17" s="449"/>
      <c r="J17" s="449"/>
      <c r="K17" s="449"/>
      <c r="L17" s="449"/>
      <c r="M17" s="450"/>
    </row>
    <row r="18" spans="2:13" ht="12.75" customHeight="1">
      <c r="B18" s="448"/>
      <c r="C18" s="449"/>
      <c r="D18" s="449"/>
      <c r="E18" s="449"/>
      <c r="F18" s="449"/>
      <c r="G18" s="449"/>
      <c r="H18" s="449"/>
      <c r="I18" s="449"/>
      <c r="J18" s="449"/>
      <c r="K18" s="449"/>
      <c r="L18" s="449"/>
      <c r="M18" s="450"/>
    </row>
    <row r="19" spans="2:13" ht="12.75" customHeight="1">
      <c r="B19" s="448"/>
      <c r="C19" s="449"/>
      <c r="D19" s="449"/>
      <c r="E19" s="449"/>
      <c r="F19" s="449"/>
      <c r="G19" s="449"/>
      <c r="H19" s="449"/>
      <c r="I19" s="449"/>
      <c r="J19" s="449"/>
      <c r="K19" s="449"/>
      <c r="L19" s="449"/>
      <c r="M19" s="450"/>
    </row>
    <row r="20" spans="2:13" ht="12.75" customHeight="1">
      <c r="B20" s="448"/>
      <c r="C20" s="449"/>
      <c r="D20" s="449"/>
      <c r="E20" s="449"/>
      <c r="F20" s="449"/>
      <c r="G20" s="449"/>
      <c r="H20" s="449"/>
      <c r="I20" s="449"/>
      <c r="J20" s="449"/>
      <c r="K20" s="449"/>
      <c r="L20" s="449"/>
      <c r="M20" s="450"/>
    </row>
    <row r="21" spans="2:13" ht="12.75" customHeight="1">
      <c r="B21" s="448"/>
      <c r="C21" s="449"/>
      <c r="D21" s="449"/>
      <c r="E21" s="449"/>
      <c r="F21" s="449"/>
      <c r="G21" s="449"/>
      <c r="H21" s="449"/>
      <c r="I21" s="449"/>
      <c r="J21" s="449"/>
      <c r="K21" s="449"/>
      <c r="L21" s="449"/>
      <c r="M21" s="450"/>
    </row>
    <row r="22" spans="2:13" ht="12.75" customHeight="1">
      <c r="B22" s="448"/>
      <c r="C22" s="449"/>
      <c r="D22" s="449"/>
      <c r="E22" s="449"/>
      <c r="F22" s="449"/>
      <c r="G22" s="449"/>
      <c r="H22" s="449"/>
      <c r="I22" s="449"/>
      <c r="J22" s="449"/>
      <c r="K22" s="449"/>
      <c r="L22" s="449"/>
      <c r="M22" s="450"/>
    </row>
    <row r="23" spans="2:13" ht="12.75" customHeight="1">
      <c r="B23" s="448"/>
      <c r="C23" s="449"/>
      <c r="D23" s="449"/>
      <c r="E23" s="449"/>
      <c r="F23" s="449"/>
      <c r="G23" s="449"/>
      <c r="H23" s="449"/>
      <c r="I23" s="449"/>
      <c r="J23" s="449"/>
      <c r="K23" s="449"/>
      <c r="L23" s="449"/>
      <c r="M23" s="450"/>
    </row>
    <row r="24" spans="2:13" ht="12.75" customHeight="1">
      <c r="B24" s="448"/>
      <c r="C24" s="449"/>
      <c r="D24" s="449"/>
      <c r="E24" s="449"/>
      <c r="F24" s="449"/>
      <c r="G24" s="449"/>
      <c r="H24" s="449"/>
      <c r="I24" s="449"/>
      <c r="J24" s="449"/>
      <c r="K24" s="449"/>
      <c r="L24" s="449"/>
      <c r="M24" s="450"/>
    </row>
    <row r="25" spans="2:13" ht="12.75" customHeight="1">
      <c r="B25" s="448"/>
      <c r="C25" s="449"/>
      <c r="D25" s="449"/>
      <c r="E25" s="449"/>
      <c r="F25" s="449"/>
      <c r="G25" s="449"/>
      <c r="H25" s="449"/>
      <c r="I25" s="449"/>
      <c r="J25" s="449"/>
      <c r="K25" s="449"/>
      <c r="L25" s="449"/>
      <c r="M25" s="450"/>
    </row>
    <row r="26" spans="2:13" ht="12.75" customHeight="1">
      <c r="B26" s="448"/>
      <c r="C26" s="449"/>
      <c r="D26" s="449"/>
      <c r="E26" s="449"/>
      <c r="F26" s="449"/>
      <c r="G26" s="449"/>
      <c r="H26" s="449"/>
      <c r="I26" s="449"/>
      <c r="J26" s="449"/>
      <c r="K26" s="449"/>
      <c r="L26" s="449"/>
      <c r="M26" s="450"/>
    </row>
    <row r="27" spans="2:13" ht="12.75" customHeight="1">
      <c r="B27" s="448"/>
      <c r="C27" s="449"/>
      <c r="D27" s="449"/>
      <c r="E27" s="449"/>
      <c r="F27" s="449"/>
      <c r="G27" s="449"/>
      <c r="H27" s="449"/>
      <c r="I27" s="449"/>
      <c r="J27" s="449"/>
      <c r="K27" s="449"/>
      <c r="L27" s="449"/>
      <c r="M27" s="450"/>
    </row>
    <row r="28" spans="2:13" ht="12.75" customHeight="1">
      <c r="B28" s="448"/>
      <c r="C28" s="449"/>
      <c r="D28" s="449"/>
      <c r="E28" s="449"/>
      <c r="F28" s="449"/>
      <c r="G28" s="449"/>
      <c r="H28" s="449"/>
      <c r="I28" s="449"/>
      <c r="J28" s="449"/>
      <c r="K28" s="449"/>
      <c r="L28" s="449"/>
      <c r="M28" s="450"/>
    </row>
    <row r="29" spans="2:13" ht="12.75" customHeight="1">
      <c r="B29" s="448"/>
      <c r="C29" s="449"/>
      <c r="D29" s="449"/>
      <c r="E29" s="449"/>
      <c r="F29" s="449"/>
      <c r="G29" s="449"/>
      <c r="H29" s="449"/>
      <c r="I29" s="449"/>
      <c r="J29" s="449"/>
      <c r="K29" s="449"/>
      <c r="L29" s="449"/>
      <c r="M29" s="450"/>
    </row>
    <row r="30" spans="2:13" ht="12.75" customHeight="1">
      <c r="B30" s="448"/>
      <c r="C30" s="449"/>
      <c r="D30" s="449"/>
      <c r="E30" s="449"/>
      <c r="F30" s="449"/>
      <c r="G30" s="449"/>
      <c r="H30" s="449"/>
      <c r="I30" s="449"/>
      <c r="J30" s="449"/>
      <c r="K30" s="449"/>
      <c r="L30" s="449"/>
      <c r="M30" s="450"/>
    </row>
    <row r="31" spans="2:13" ht="12.75" customHeight="1">
      <c r="B31" s="448"/>
      <c r="C31" s="449"/>
      <c r="D31" s="449"/>
      <c r="E31" s="449"/>
      <c r="F31" s="449"/>
      <c r="G31" s="449"/>
      <c r="H31" s="449"/>
      <c r="I31" s="449"/>
      <c r="J31" s="449"/>
      <c r="K31" s="449"/>
      <c r="L31" s="449"/>
      <c r="M31" s="450"/>
    </row>
    <row r="32" spans="2:13" ht="12.75" customHeight="1">
      <c r="B32" s="448"/>
      <c r="C32" s="449"/>
      <c r="D32" s="449"/>
      <c r="E32" s="449"/>
      <c r="F32" s="449"/>
      <c r="G32" s="449"/>
      <c r="H32" s="449"/>
      <c r="I32" s="449"/>
      <c r="J32" s="449"/>
      <c r="K32" s="449"/>
      <c r="L32" s="449"/>
      <c r="M32" s="450"/>
    </row>
    <row r="33" spans="2:13" ht="12.75" customHeight="1">
      <c r="B33" s="448"/>
      <c r="C33" s="449"/>
      <c r="D33" s="449"/>
      <c r="E33" s="449"/>
      <c r="F33" s="449"/>
      <c r="G33" s="449"/>
      <c r="H33" s="449"/>
      <c r="I33" s="449"/>
      <c r="J33" s="449"/>
      <c r="K33" s="449"/>
      <c r="L33" s="449"/>
      <c r="M33" s="450"/>
    </row>
    <row r="34" spans="2:13" ht="12.75" customHeight="1">
      <c r="B34" s="448"/>
      <c r="C34" s="449"/>
      <c r="D34" s="449"/>
      <c r="E34" s="449"/>
      <c r="F34" s="449"/>
      <c r="G34" s="449"/>
      <c r="H34" s="449"/>
      <c r="I34" s="449"/>
      <c r="J34" s="449"/>
      <c r="K34" s="449"/>
      <c r="L34" s="449"/>
      <c r="M34" s="450"/>
    </row>
    <row r="35" spans="2:13" ht="12.75" customHeight="1">
      <c r="B35" s="448"/>
      <c r="C35" s="449"/>
      <c r="D35" s="449"/>
      <c r="E35" s="449"/>
      <c r="F35" s="449"/>
      <c r="G35" s="449"/>
      <c r="H35" s="449"/>
      <c r="I35" s="449"/>
      <c r="J35" s="449"/>
      <c r="K35" s="449"/>
      <c r="L35" s="449"/>
      <c r="M35" s="450"/>
    </row>
    <row r="36" spans="2:13" ht="12.75" customHeight="1">
      <c r="B36" s="448"/>
      <c r="C36" s="449"/>
      <c r="D36" s="449"/>
      <c r="E36" s="449"/>
      <c r="F36" s="449"/>
      <c r="G36" s="449"/>
      <c r="H36" s="449"/>
      <c r="I36" s="449"/>
      <c r="J36" s="449"/>
      <c r="K36" s="449"/>
      <c r="L36" s="449"/>
      <c r="M36" s="450"/>
    </row>
    <row r="37" spans="2:13" ht="12.75" customHeight="1">
      <c r="B37" s="448"/>
      <c r="C37" s="449"/>
      <c r="D37" s="449"/>
      <c r="E37" s="449"/>
      <c r="F37" s="449"/>
      <c r="G37" s="449"/>
      <c r="H37" s="449"/>
      <c r="I37" s="449"/>
      <c r="J37" s="449"/>
      <c r="K37" s="449"/>
      <c r="L37" s="449"/>
      <c r="M37" s="450"/>
    </row>
    <row r="38" spans="2:13" ht="13.5" customHeight="1">
      <c r="B38" s="448"/>
      <c r="C38" s="449"/>
      <c r="D38" s="449"/>
      <c r="E38" s="449"/>
      <c r="F38" s="449"/>
      <c r="G38" s="449"/>
      <c r="H38" s="449"/>
      <c r="I38" s="449"/>
      <c r="J38" s="449"/>
      <c r="K38" s="449"/>
      <c r="L38" s="449"/>
      <c r="M38" s="450"/>
    </row>
    <row r="39" spans="2:13" ht="12.75" customHeight="1">
      <c r="B39" s="448"/>
      <c r="C39" s="449"/>
      <c r="D39" s="449"/>
      <c r="E39" s="449"/>
      <c r="F39" s="449"/>
      <c r="G39" s="449"/>
      <c r="H39" s="449"/>
      <c r="I39" s="449"/>
      <c r="J39" s="449"/>
      <c r="K39" s="449"/>
      <c r="L39" s="449"/>
      <c r="M39" s="450"/>
    </row>
    <row r="40" spans="2:13" ht="12.75" customHeight="1">
      <c r="B40" s="448"/>
      <c r="C40" s="449"/>
      <c r="D40" s="449"/>
      <c r="E40" s="449"/>
      <c r="F40" s="449"/>
      <c r="G40" s="449"/>
      <c r="H40" s="449"/>
      <c r="I40" s="449"/>
      <c r="J40" s="449"/>
      <c r="K40" s="449"/>
      <c r="L40" s="449"/>
      <c r="M40" s="450"/>
    </row>
    <row r="41" spans="2:13">
      <c r="B41" s="448"/>
      <c r="C41" s="449"/>
      <c r="D41" s="449"/>
      <c r="E41" s="449"/>
      <c r="F41" s="449"/>
      <c r="G41" s="449"/>
      <c r="H41" s="449"/>
      <c r="I41" s="449"/>
      <c r="J41" s="449"/>
      <c r="K41" s="449"/>
      <c r="L41" s="449"/>
      <c r="M41" s="450"/>
    </row>
    <row r="42" spans="2:13" ht="13.5" thickBot="1">
      <c r="B42" s="451"/>
      <c r="C42" s="452"/>
      <c r="D42" s="452"/>
      <c r="E42" s="452"/>
      <c r="F42" s="452"/>
      <c r="G42" s="452"/>
      <c r="H42" s="452"/>
      <c r="I42" s="452"/>
      <c r="J42" s="452"/>
      <c r="K42" s="452"/>
      <c r="L42" s="452"/>
      <c r="M42" s="453"/>
    </row>
  </sheetData>
  <sheetProtection password="8A5F" sheet="1" scenarios="1" selectLockedCells="1" selectUnlockedCells="1"/>
  <mergeCells count="2">
    <mergeCell ref="B2:M4"/>
    <mergeCell ref="B5:M42"/>
  </mergeCells>
  <pageMargins left="0.70866141732283472" right="0.70866141732283472" top="0.78740157480314965" bottom="0.78740157480314965" header="0.31496062992125984" footer="0.31496062992125984"/>
  <pageSetup paperSize="9" scale="91" orientation="landscape" r:id="rId1"/>
  <headerFooter>
    <oddFooter>&amp;LMHG-PU-F-0018&amp;CPPAP Template ; Rev.: 02/2018&amp;RJ.-U. Liedtke / PU-SD-GA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1:BT214"/>
  <sheetViews>
    <sheetView showGridLines="0" zoomScaleNormal="100" workbookViewId="0">
      <selection activeCell="AO7" sqref="AO7"/>
    </sheetView>
  </sheetViews>
  <sheetFormatPr baseColWidth="10" defaultColWidth="9.140625" defaultRowHeight="12.75"/>
  <cols>
    <col min="1" max="2" width="1" customWidth="1"/>
    <col min="3" max="3" width="2.42578125" customWidth="1"/>
    <col min="4" max="4" width="6" customWidth="1"/>
    <col min="5" max="5" width="2.7109375" customWidth="1"/>
    <col min="6" max="6" width="2.42578125" customWidth="1"/>
    <col min="7" max="7" width="4.42578125" customWidth="1"/>
    <col min="8" max="8" width="2.28515625" customWidth="1"/>
    <col min="9" max="9" width="4.7109375" customWidth="1"/>
    <col min="10" max="10" width="2.42578125" customWidth="1"/>
    <col min="11" max="11" width="4.7109375" customWidth="1"/>
    <col min="12" max="12" width="2.42578125" customWidth="1"/>
    <col min="13" max="13" width="2.28515625" customWidth="1"/>
    <col min="14" max="16" width="2.42578125" customWidth="1"/>
    <col min="17" max="17" width="4.7109375" customWidth="1"/>
    <col min="18" max="18" width="2.5703125" customWidth="1"/>
    <col min="19" max="19" width="3.5703125" customWidth="1"/>
    <col min="20" max="22" width="2.42578125" customWidth="1"/>
    <col min="23" max="23" width="3.85546875" customWidth="1"/>
    <col min="24" max="24" width="2.42578125" customWidth="1"/>
    <col min="25" max="25" width="1.140625" customWidth="1"/>
    <col min="26" max="26" width="1.42578125" customWidth="1"/>
    <col min="27" max="27" width="2.42578125" customWidth="1"/>
    <col min="28" max="28" width="2.85546875" customWidth="1"/>
    <col min="29" max="30" width="2.42578125" customWidth="1"/>
    <col min="31" max="31" width="3.5703125" customWidth="1"/>
    <col min="32" max="32" width="2.42578125" customWidth="1"/>
    <col min="33" max="33" width="1.140625" customWidth="1"/>
    <col min="34" max="34" width="2.42578125" customWidth="1"/>
    <col min="35" max="35" width="4.7109375" customWidth="1"/>
    <col min="36" max="36" width="5.85546875" customWidth="1"/>
    <col min="37" max="37" width="6.85546875" customWidth="1"/>
    <col min="38" max="38" width="2.5703125" customWidth="1"/>
    <col min="39" max="39" width="2.42578125" style="5" customWidth="1"/>
    <col min="40" max="40" width="12.140625" style="6" customWidth="1"/>
    <col min="41" max="41" width="10" style="6" customWidth="1"/>
    <col min="42" max="46" width="11.42578125" style="6" customWidth="1"/>
    <col min="47" max="72" width="9.140625" style="32"/>
  </cols>
  <sheetData>
    <row r="1" spans="2:72" ht="7.5" customHeight="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72" ht="32.25" customHeight="1">
      <c r="B2" s="454" t="str">
        <f>VLOOKUP("part submission warrant",Translations!$A:$T,MATCH(AO7,Translations!A1:P1,0),0)</f>
        <v>Part Submission Warrant</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M2" s="7"/>
      <c r="AN2" s="7"/>
      <c r="AO2" s="7"/>
      <c r="AP2" s="7"/>
      <c r="AQ2" s="7"/>
      <c r="AR2" s="7"/>
      <c r="AS2" s="7"/>
      <c r="AT2" s="7"/>
    </row>
    <row r="3" spans="2:72" ht="6.75" customHeight="1" thickBot="1">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T3" s="8"/>
    </row>
    <row r="4" spans="2:72">
      <c r="B4" s="416"/>
      <c r="C4" s="459" t="str">
        <f>VLOOKUP("part information",Translations!$A:$T,MATCH(AO7,Translations!A1:P1,0),0)</f>
        <v>PART INFORMATION</v>
      </c>
      <c r="D4" s="459"/>
      <c r="E4" s="459"/>
      <c r="F4" s="459"/>
      <c r="G4" s="459"/>
      <c r="H4" s="459"/>
      <c r="I4" s="459"/>
      <c r="J4" s="459"/>
      <c r="K4" s="459"/>
      <c r="L4" s="459"/>
      <c r="M4" s="459"/>
      <c r="N4" s="459"/>
      <c r="O4" s="459"/>
      <c r="P4" s="459"/>
      <c r="Q4" s="459"/>
      <c r="R4" s="459"/>
      <c r="S4" s="417"/>
      <c r="T4" s="417"/>
      <c r="U4" s="417"/>
      <c r="V4" s="417"/>
      <c r="W4" s="417"/>
      <c r="X4" s="417"/>
      <c r="Y4" s="417"/>
      <c r="Z4" s="417"/>
      <c r="AA4" s="417"/>
      <c r="AB4" s="417"/>
      <c r="AC4" s="417"/>
      <c r="AD4" s="417"/>
      <c r="AE4" s="417"/>
      <c r="AF4" s="417"/>
      <c r="AG4" s="417"/>
      <c r="AH4" s="417"/>
      <c r="AI4" s="417"/>
      <c r="AJ4" s="417"/>
      <c r="AK4" s="418"/>
      <c r="AL4" s="32"/>
      <c r="AM4" s="9"/>
      <c r="AN4" s="10"/>
      <c r="AO4" s="10"/>
      <c r="AP4" s="10"/>
    </row>
    <row r="5" spans="2:72" ht="12.75" customHeight="1">
      <c r="B5" s="198"/>
      <c r="C5" s="456" t="str">
        <f>VLOOKUP("part name",Translations!$A:$T,MATCH(AO7,Translations!A1:P1,0),0)</f>
        <v>Part Name</v>
      </c>
      <c r="D5" s="456"/>
      <c r="E5" s="456"/>
      <c r="F5" s="456"/>
      <c r="G5" s="491"/>
      <c r="H5" s="491"/>
      <c r="I5" s="491"/>
      <c r="J5" s="491"/>
      <c r="K5" s="491"/>
      <c r="L5" s="491"/>
      <c r="M5" s="491"/>
      <c r="N5" s="491"/>
      <c r="O5" s="491"/>
      <c r="P5" s="491"/>
      <c r="Q5" s="491"/>
      <c r="R5" s="491"/>
      <c r="S5" s="455" t="str">
        <f>VLOOKUP("customer part number",Translations!$A:$T,MATCH(AO7,Translations!A1:P1,0),0)</f>
        <v>Customer Part Number</v>
      </c>
      <c r="T5" s="455"/>
      <c r="U5" s="455"/>
      <c r="V5" s="455"/>
      <c r="W5" s="455"/>
      <c r="X5" s="455"/>
      <c r="Y5" s="455"/>
      <c r="Z5" s="455"/>
      <c r="AA5" s="455"/>
      <c r="AB5" s="455"/>
      <c r="AC5" s="465"/>
      <c r="AD5" s="465"/>
      <c r="AE5" s="465"/>
      <c r="AF5" s="465"/>
      <c r="AG5" s="465"/>
      <c r="AH5" s="465"/>
      <c r="AI5" s="465"/>
      <c r="AJ5" s="465"/>
      <c r="AK5" s="419"/>
      <c r="AL5" s="32"/>
    </row>
    <row r="6" spans="2:72" ht="3" customHeight="1">
      <c r="B6" s="198"/>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419"/>
      <c r="AL6" s="32"/>
      <c r="AM6" s="9"/>
      <c r="AN6" s="11"/>
      <c r="AO6" s="11"/>
      <c r="AP6" s="11"/>
      <c r="AQ6" s="11"/>
    </row>
    <row r="7" spans="2:72">
      <c r="B7" s="198"/>
      <c r="C7" s="456" t="str">
        <f>VLOOKUP("shown on drawing",Translations!$A:$T,MATCH(AO7,Translations!A1:P1,0),0)</f>
        <v>Shown on Drawing No.</v>
      </c>
      <c r="D7" s="456"/>
      <c r="E7" s="456"/>
      <c r="F7" s="456"/>
      <c r="G7" s="456"/>
      <c r="H7" s="465"/>
      <c r="I7" s="465"/>
      <c r="J7" s="465"/>
      <c r="K7" s="465"/>
      <c r="L7" s="465"/>
      <c r="M7" s="465"/>
      <c r="N7" s="465"/>
      <c r="O7" s="465"/>
      <c r="P7" s="465"/>
      <c r="Q7" s="465"/>
      <c r="R7" s="465"/>
      <c r="S7" s="455" t="str">
        <f>VLOOKUP("orgpartnumber",Translations!$A:$T,MATCH(AO7,Translations!A1:P1,0),0)</f>
        <v>Organization Part Number</v>
      </c>
      <c r="T7" s="455"/>
      <c r="U7" s="455"/>
      <c r="V7" s="455"/>
      <c r="W7" s="455"/>
      <c r="X7" s="455"/>
      <c r="Y7" s="455"/>
      <c r="Z7" s="455"/>
      <c r="AA7" s="455"/>
      <c r="AB7" s="455"/>
      <c r="AC7" s="465"/>
      <c r="AD7" s="465"/>
      <c r="AE7" s="465"/>
      <c r="AF7" s="465"/>
      <c r="AG7" s="465"/>
      <c r="AH7" s="465"/>
      <c r="AI7" s="465"/>
      <c r="AJ7" s="465"/>
      <c r="AK7" s="419"/>
      <c r="AL7" s="32"/>
      <c r="AM7" s="489" t="s">
        <v>234</v>
      </c>
      <c r="AN7" s="490"/>
      <c r="AO7" s="59" t="s">
        <v>235</v>
      </c>
    </row>
    <row r="8" spans="2:72" ht="3" customHeight="1">
      <c r="B8" s="19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419"/>
      <c r="AL8" s="32"/>
      <c r="AP8" s="5"/>
      <c r="AQ8" s="5"/>
      <c r="AR8" s="5"/>
      <c r="AS8" s="5"/>
      <c r="AT8" s="5"/>
    </row>
    <row r="9" spans="2:72" ht="12.75" customHeight="1">
      <c r="B9" s="198"/>
      <c r="C9" s="456" t="str">
        <f>VLOOKUP("engineeringchangelevel",Translations!$A:$T,MATCH(AO7,Translations!A1:P1,0),0)</f>
        <v>Engineering Change Level</v>
      </c>
      <c r="D9" s="456"/>
      <c r="E9" s="456"/>
      <c r="F9" s="456"/>
      <c r="G9" s="456"/>
      <c r="H9" s="456"/>
      <c r="I9" s="456"/>
      <c r="J9" s="456"/>
      <c r="K9" s="465"/>
      <c r="L9" s="465"/>
      <c r="M9" s="465"/>
      <c r="N9" s="465"/>
      <c r="O9" s="465"/>
      <c r="P9" s="465"/>
      <c r="Q9" s="465"/>
      <c r="R9" s="465"/>
      <c r="S9" s="465"/>
      <c r="T9" s="465"/>
      <c r="U9" s="465"/>
      <c r="V9" s="465"/>
      <c r="W9" s="465"/>
      <c r="X9" s="465"/>
      <c r="Y9" s="465"/>
      <c r="Z9" s="455" t="str">
        <f>VLOOKUP("dated",Translations!$A:$T,MATCH(AO7,Translations!A1:P1,0),0)</f>
        <v>Dated</v>
      </c>
      <c r="AA9" s="455"/>
      <c r="AB9" s="455"/>
      <c r="AC9" s="455"/>
      <c r="AD9" s="480"/>
      <c r="AE9" s="480"/>
      <c r="AF9" s="480"/>
      <c r="AG9" s="480"/>
      <c r="AH9" s="480"/>
      <c r="AI9" s="480"/>
      <c r="AJ9" s="30"/>
      <c r="AK9" s="419"/>
      <c r="AL9" s="32"/>
      <c r="AN9" s="5"/>
      <c r="AO9" s="12"/>
      <c r="AP9" s="12"/>
      <c r="AQ9" s="12"/>
      <c r="AR9" s="12"/>
      <c r="AS9" s="5"/>
      <c r="AT9" s="5"/>
    </row>
    <row r="10" spans="2:72" ht="3" customHeight="1">
      <c r="B10" s="198"/>
      <c r="C10" s="389"/>
      <c r="D10" s="389"/>
      <c r="E10" s="389"/>
      <c r="F10" s="389"/>
      <c r="G10" s="389"/>
      <c r="H10" s="389"/>
      <c r="I10" s="389"/>
      <c r="J10" s="389"/>
      <c r="K10" s="383"/>
      <c r="L10" s="383"/>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1"/>
      <c r="AK10" s="419"/>
      <c r="AL10" s="32"/>
      <c r="AN10" s="5"/>
      <c r="AO10" s="12"/>
      <c r="AP10" s="12"/>
      <c r="AQ10" s="12"/>
      <c r="AR10" s="12"/>
      <c r="AS10" s="5"/>
      <c r="AT10" s="5"/>
    </row>
    <row r="11" spans="2:72">
      <c r="B11" s="198"/>
      <c r="C11" s="456" t="str">
        <f>VLOOKUP("additional engineerring changes",Translations!$A:$T,MATCH(AO7,Translations!A1:P1,0),0)</f>
        <v>Additional Engineering Changes</v>
      </c>
      <c r="D11" s="456"/>
      <c r="E11" s="456"/>
      <c r="F11" s="456"/>
      <c r="G11" s="456"/>
      <c r="H11" s="456"/>
      <c r="I11" s="456"/>
      <c r="J11" s="456"/>
      <c r="K11" s="456"/>
      <c r="L11" s="456"/>
      <c r="M11" s="465"/>
      <c r="N11" s="465"/>
      <c r="O11" s="465"/>
      <c r="P11" s="465"/>
      <c r="Q11" s="465"/>
      <c r="R11" s="465"/>
      <c r="S11" s="465"/>
      <c r="T11" s="465"/>
      <c r="U11" s="465"/>
      <c r="V11" s="465"/>
      <c r="W11" s="465"/>
      <c r="X11" s="465"/>
      <c r="Y11" s="465"/>
      <c r="Z11" s="455" t="str">
        <f>Z9</f>
        <v>Dated</v>
      </c>
      <c r="AA11" s="455"/>
      <c r="AB11" s="455"/>
      <c r="AC11" s="455"/>
      <c r="AD11" s="480"/>
      <c r="AE11" s="480"/>
      <c r="AF11" s="480"/>
      <c r="AG11" s="480"/>
      <c r="AH11" s="480"/>
      <c r="AI11" s="480"/>
      <c r="AJ11" s="30"/>
      <c r="AK11" s="419"/>
      <c r="AL11" s="32"/>
      <c r="AT11" s="5"/>
    </row>
    <row r="12" spans="2:72" ht="3" customHeight="1">
      <c r="B12" s="198"/>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419"/>
      <c r="AL12" s="32"/>
      <c r="AN12" s="33"/>
      <c r="AO12" s="12"/>
      <c r="AP12" s="12"/>
      <c r="AQ12" s="12"/>
      <c r="AR12" s="12"/>
      <c r="AS12" s="5"/>
      <c r="AT12" s="5"/>
    </row>
    <row r="13" spans="2:72" ht="3" customHeight="1">
      <c r="B13" s="198"/>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419"/>
      <c r="AL13" s="32"/>
      <c r="AN13" s="33"/>
      <c r="AO13" s="12"/>
      <c r="AP13" s="12"/>
      <c r="AQ13" s="12"/>
      <c r="AR13" s="12"/>
      <c r="AS13" s="5"/>
      <c r="AT13" s="5"/>
    </row>
    <row r="14" spans="2:72">
      <c r="B14" s="198"/>
      <c r="C14" s="456" t="str">
        <f>VLOOKUP("safetyandorgovernment",Translations!$A:$T,MATCH(AO7,Translations!A1:P1,0),0)</f>
        <v>Safety and/or Government Regulation</v>
      </c>
      <c r="D14" s="456"/>
      <c r="E14" s="456"/>
      <c r="F14" s="456"/>
      <c r="G14" s="456"/>
      <c r="H14" s="456"/>
      <c r="I14" s="456"/>
      <c r="J14" s="456"/>
      <c r="K14" s="456"/>
      <c r="L14" s="276"/>
      <c r="M14" s="457" t="str">
        <f>VLOOKUP("yes",Translations!$A:$T,MATCH(AO7,Translations!A1:P1,0),0)</f>
        <v>Yes</v>
      </c>
      <c r="N14" s="472"/>
      <c r="O14" s="276"/>
      <c r="P14" s="457" t="str">
        <f>VLOOKUP("no",Translations!$A:$T,MATCH(AO7,Translations!A1:P1,0),0)</f>
        <v>No</v>
      </c>
      <c r="Q14" s="456"/>
      <c r="R14" s="455" t="str">
        <f>VLOOKUP("purchseorder",Translations!$A:$T,MATCH(AO7,Translations!A1:P1,0),0)</f>
        <v>Purchase Order No.</v>
      </c>
      <c r="S14" s="455"/>
      <c r="T14" s="455"/>
      <c r="U14" s="455"/>
      <c r="V14" s="455"/>
      <c r="W14" s="455"/>
      <c r="X14" s="465"/>
      <c r="Y14" s="465"/>
      <c r="Z14" s="465"/>
      <c r="AA14" s="465"/>
      <c r="AB14" s="465"/>
      <c r="AC14" s="465"/>
      <c r="AD14" s="465"/>
      <c r="AE14" s="455" t="str">
        <f>VLOOKUP("weight",Translations!$A:$T,MATCH(AO7,Translations!A1:P1,0),0)</f>
        <v>Weight</v>
      </c>
      <c r="AF14" s="455"/>
      <c r="AG14" s="455"/>
      <c r="AH14" s="455"/>
      <c r="AI14" s="465"/>
      <c r="AJ14" s="465"/>
      <c r="AK14" s="419" t="s">
        <v>892</v>
      </c>
      <c r="AL14" s="32"/>
      <c r="AN14" s="33"/>
      <c r="AO14" s="12"/>
      <c r="AP14" s="12"/>
      <c r="AQ14" s="12"/>
      <c r="AR14" s="12"/>
      <c r="AS14" s="5"/>
      <c r="AT14" s="5"/>
    </row>
    <row r="15" spans="2:72" ht="3" customHeight="1">
      <c r="B15" s="198"/>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420"/>
      <c r="AM15"/>
      <c r="AN15"/>
      <c r="AO15"/>
      <c r="AP15"/>
      <c r="AQ15"/>
      <c r="AR15"/>
      <c r="AS15"/>
      <c r="AT15"/>
      <c r="AU15"/>
      <c r="AV15"/>
      <c r="AW15"/>
      <c r="AX15"/>
      <c r="AY15"/>
      <c r="AZ15"/>
      <c r="BA15"/>
      <c r="BB15"/>
      <c r="BC15"/>
      <c r="BD15"/>
      <c r="BE15"/>
      <c r="BF15"/>
      <c r="BG15"/>
      <c r="BH15"/>
      <c r="BI15"/>
      <c r="BJ15"/>
      <c r="BK15"/>
      <c r="BL15"/>
      <c r="BM15"/>
      <c r="BN15"/>
      <c r="BO15"/>
      <c r="BP15"/>
      <c r="BQ15"/>
      <c r="BR15"/>
      <c r="BS15"/>
      <c r="BT15"/>
    </row>
    <row r="16" spans="2:72" ht="6" customHeight="1">
      <c r="B16" s="198"/>
      <c r="C16" s="389"/>
      <c r="D16" s="389"/>
      <c r="E16" s="389"/>
      <c r="F16" s="389"/>
      <c r="G16" s="26"/>
      <c r="H16" s="26"/>
      <c r="I16" s="26"/>
      <c r="J16" s="26"/>
      <c r="K16" s="26"/>
      <c r="L16" s="26"/>
      <c r="M16" s="26"/>
      <c r="N16" s="26"/>
      <c r="O16" s="26"/>
      <c r="P16" s="26"/>
      <c r="Q16" s="26"/>
      <c r="R16" s="389"/>
      <c r="S16" s="389"/>
      <c r="T16" s="389"/>
      <c r="U16" s="389"/>
      <c r="V16" s="389"/>
      <c r="W16" s="389"/>
      <c r="X16" s="389"/>
      <c r="Y16" s="389"/>
      <c r="Z16" s="389"/>
      <c r="AA16" s="389"/>
      <c r="AB16" s="26"/>
      <c r="AC16" s="389"/>
      <c r="AD16" s="389"/>
      <c r="AE16" s="389"/>
      <c r="AF16" s="389"/>
      <c r="AG16" s="389"/>
      <c r="AH16" s="389"/>
      <c r="AI16" s="389"/>
      <c r="AJ16" s="389"/>
      <c r="AK16" s="419"/>
      <c r="AL16" s="32"/>
      <c r="AN16" s="34"/>
      <c r="AO16" s="12"/>
      <c r="AP16" s="12"/>
      <c r="AQ16" s="12"/>
      <c r="AR16" s="12"/>
      <c r="AS16" s="5"/>
      <c r="AT16" s="5"/>
    </row>
    <row r="17" spans="2:46">
      <c r="B17" s="198"/>
      <c r="C17" s="456" t="str">
        <f>VLOOKUP("checkingaid",Translations!$A:$T,MATCH(AO7,Translations!A1:P1,0),0)</f>
        <v>Checking Aid Number</v>
      </c>
      <c r="D17" s="456"/>
      <c r="E17" s="456"/>
      <c r="F17" s="456"/>
      <c r="G17" s="456"/>
      <c r="H17" s="456"/>
      <c r="I17" s="465"/>
      <c r="J17" s="465"/>
      <c r="K17" s="465"/>
      <c r="L17" s="465"/>
      <c r="M17" s="465"/>
      <c r="N17" s="2"/>
      <c r="O17" s="455" t="str">
        <f>VLOOKUP("chceckingaidengineeringchangelevel",Translations!$A:$T,MATCH(AO7,Translations!A1:P1,0),0)</f>
        <v>Checking Aid Engineering Change Level</v>
      </c>
      <c r="P17" s="455"/>
      <c r="Q17" s="455"/>
      <c r="R17" s="455"/>
      <c r="S17" s="455"/>
      <c r="T17" s="455"/>
      <c r="U17" s="455"/>
      <c r="V17" s="455"/>
      <c r="W17" s="455"/>
      <c r="X17" s="455"/>
      <c r="Y17" s="455"/>
      <c r="Z17" s="455"/>
      <c r="AA17" s="455"/>
      <c r="AB17" s="465"/>
      <c r="AC17" s="465"/>
      <c r="AD17" s="465"/>
      <c r="AE17" s="455" t="str">
        <f>Z11</f>
        <v>Dated</v>
      </c>
      <c r="AF17" s="455"/>
      <c r="AG17" s="455"/>
      <c r="AH17" s="480"/>
      <c r="AI17" s="480"/>
      <c r="AJ17" s="30"/>
      <c r="AK17" s="421"/>
      <c r="AL17" s="32"/>
      <c r="AN17" s="34"/>
      <c r="AO17" s="12"/>
      <c r="AP17" s="12"/>
      <c r="AQ17" s="12"/>
      <c r="AR17" s="12"/>
      <c r="AS17" s="5"/>
      <c r="AT17" s="5"/>
    </row>
    <row r="18" spans="2:46" ht="3" customHeight="1">
      <c r="B18" s="198"/>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419"/>
      <c r="AL18" s="32"/>
      <c r="AN18" s="5"/>
      <c r="AO18" s="12"/>
      <c r="AP18" s="12"/>
      <c r="AQ18" s="12"/>
      <c r="AR18" s="12"/>
      <c r="AS18" s="5"/>
      <c r="AT18" s="5"/>
    </row>
    <row r="19" spans="2:46" ht="15" customHeight="1">
      <c r="B19" s="198"/>
      <c r="C19" s="461" t="str">
        <f>VLOOKUP("organization manufacturing info",Translations!$A:$T,MATCH(AO7,Translations!A1:P1,0),0)</f>
        <v>ORGANIZATION MANUFACTURING INFORMATION</v>
      </c>
      <c r="D19" s="461"/>
      <c r="E19" s="461"/>
      <c r="F19" s="461"/>
      <c r="G19" s="461"/>
      <c r="H19" s="461"/>
      <c r="I19" s="461"/>
      <c r="J19" s="461"/>
      <c r="K19" s="461"/>
      <c r="L19" s="461"/>
      <c r="M19" s="461"/>
      <c r="N19" s="461"/>
      <c r="O19" s="461"/>
      <c r="P19" s="461"/>
      <c r="Q19" s="461"/>
      <c r="R19" s="461"/>
      <c r="S19" s="389"/>
      <c r="T19" s="461" t="str">
        <f>VLOOKUP("customer submittal info",Translations!$A:$T,MATCH(AO7,Translations!A1:P1,0),0)</f>
        <v>CUSTOMER SUBMITTAL INFORMATION</v>
      </c>
      <c r="U19" s="461"/>
      <c r="V19" s="461"/>
      <c r="W19" s="461"/>
      <c r="X19" s="461"/>
      <c r="Y19" s="461"/>
      <c r="Z19" s="461"/>
      <c r="AA19" s="461"/>
      <c r="AB19" s="461"/>
      <c r="AC19" s="461"/>
      <c r="AD19" s="461"/>
      <c r="AE19" s="461"/>
      <c r="AF19" s="461"/>
      <c r="AG19" s="461"/>
      <c r="AH19" s="461"/>
      <c r="AI19" s="461"/>
      <c r="AJ19" s="461"/>
      <c r="AK19" s="419"/>
      <c r="AL19" s="32"/>
      <c r="AN19" s="5"/>
      <c r="AO19" s="12"/>
      <c r="AP19" s="12"/>
      <c r="AQ19" s="12"/>
      <c r="AR19" s="12"/>
      <c r="AS19" s="5"/>
      <c r="AT19" s="5"/>
    </row>
    <row r="20" spans="2:46" ht="3" customHeight="1">
      <c r="B20" s="198"/>
      <c r="C20" s="389"/>
      <c r="D20" s="389"/>
      <c r="E20" s="389"/>
      <c r="F20" s="389"/>
      <c r="G20" s="389"/>
      <c r="H20" s="389"/>
      <c r="I20" s="389"/>
      <c r="J20" s="389"/>
      <c r="K20" s="389"/>
      <c r="L20" s="389"/>
      <c r="M20" s="389"/>
      <c r="N20" s="389"/>
      <c r="O20" s="389"/>
      <c r="P20" s="389"/>
      <c r="Q20" s="389"/>
      <c r="R20" s="389"/>
      <c r="S20" s="389"/>
      <c r="T20" s="26"/>
      <c r="U20" s="26"/>
      <c r="V20" s="26"/>
      <c r="W20" s="26"/>
      <c r="X20" s="26"/>
      <c r="Y20" s="26"/>
      <c r="Z20" s="26"/>
      <c r="AA20" s="26"/>
      <c r="AB20" s="26"/>
      <c r="AC20" s="26"/>
      <c r="AD20" s="26"/>
      <c r="AE20" s="26"/>
      <c r="AF20" s="26"/>
      <c r="AG20" s="26"/>
      <c r="AH20" s="26"/>
      <c r="AI20" s="26"/>
      <c r="AJ20" s="26"/>
      <c r="AK20" s="419"/>
      <c r="AL20" s="32"/>
      <c r="AM20" s="13"/>
      <c r="AN20" s="13"/>
      <c r="AO20" s="13"/>
      <c r="AP20" s="13"/>
      <c r="AQ20" s="13"/>
      <c r="AR20" s="13"/>
      <c r="AS20" s="13"/>
      <c r="AT20" s="13"/>
    </row>
    <row r="21" spans="2:46" ht="12.75" customHeight="1">
      <c r="B21" s="198"/>
      <c r="C21" s="466"/>
      <c r="D21" s="466"/>
      <c r="E21" s="466"/>
      <c r="F21" s="466"/>
      <c r="G21" s="466"/>
      <c r="H21" s="466"/>
      <c r="I21" s="466"/>
      <c r="J21" s="466"/>
      <c r="K21" s="466"/>
      <c r="L21" s="466"/>
      <c r="M21" s="466"/>
      <c r="N21" s="466"/>
      <c r="O21" s="466"/>
      <c r="P21" s="466"/>
      <c r="Q21" s="466"/>
      <c r="R21" s="466"/>
      <c r="S21" s="389"/>
      <c r="T21" s="466"/>
      <c r="U21" s="466"/>
      <c r="V21" s="466"/>
      <c r="W21" s="466"/>
      <c r="X21" s="466"/>
      <c r="Y21" s="466"/>
      <c r="Z21" s="466"/>
      <c r="AA21" s="466"/>
      <c r="AB21" s="466"/>
      <c r="AC21" s="466"/>
      <c r="AD21" s="466"/>
      <c r="AE21" s="466"/>
      <c r="AF21" s="466"/>
      <c r="AG21" s="466"/>
      <c r="AH21" s="466"/>
      <c r="AI21" s="466"/>
      <c r="AJ21" s="466"/>
      <c r="AK21" s="419"/>
      <c r="AL21" s="32"/>
      <c r="AM21" s="6"/>
    </row>
    <row r="22" spans="2:46" ht="12.75" customHeight="1">
      <c r="B22" s="198"/>
      <c r="C22" s="462" t="str">
        <f>VLOOKUP("organization name&amp;supplier",Translations!$A:$T,MATCH(AO7,Translations!A1:P1,0),0)</f>
        <v>Organization Name and Supplier / Vendor Code</v>
      </c>
      <c r="D22" s="462"/>
      <c r="E22" s="462"/>
      <c r="F22" s="462"/>
      <c r="G22" s="462"/>
      <c r="H22" s="462"/>
      <c r="I22" s="462"/>
      <c r="J22" s="462"/>
      <c r="K22" s="462"/>
      <c r="L22" s="462"/>
      <c r="M22" s="462"/>
      <c r="N22" s="462"/>
      <c r="O22" s="462"/>
      <c r="P22" s="462"/>
      <c r="Q22" s="462"/>
      <c r="R22" s="462"/>
      <c r="S22" s="389"/>
      <c r="T22" s="456" t="str">
        <f>VLOOKUP("customer namedivision",Translations!$A:$T,MATCH(AO7,Translations!A1:P1,0),0)</f>
        <v>Customer Name / Division</v>
      </c>
      <c r="U22" s="456"/>
      <c r="V22" s="456"/>
      <c r="W22" s="456"/>
      <c r="X22" s="456"/>
      <c r="Y22" s="456"/>
      <c r="Z22" s="456"/>
      <c r="AA22" s="456"/>
      <c r="AB22" s="456"/>
      <c r="AC22" s="456"/>
      <c r="AD22" s="456"/>
      <c r="AE22" s="456"/>
      <c r="AF22" s="456"/>
      <c r="AG22" s="456"/>
      <c r="AH22" s="456"/>
      <c r="AI22" s="456"/>
      <c r="AJ22" s="456"/>
      <c r="AK22" s="419"/>
      <c r="AL22" s="32"/>
      <c r="AM22" s="14"/>
      <c r="AN22" s="14"/>
      <c r="AO22" s="14"/>
      <c r="AP22" s="14"/>
      <c r="AQ22" s="14"/>
      <c r="AR22" s="13"/>
      <c r="AS22" s="13"/>
      <c r="AT22" s="13"/>
    </row>
    <row r="23" spans="2:46">
      <c r="B23" s="198"/>
      <c r="C23" s="466"/>
      <c r="D23" s="466"/>
      <c r="E23" s="466"/>
      <c r="F23" s="466"/>
      <c r="G23" s="466"/>
      <c r="H23" s="466"/>
      <c r="I23" s="466"/>
      <c r="J23" s="466"/>
      <c r="K23" s="466"/>
      <c r="L23" s="466"/>
      <c r="M23" s="466"/>
      <c r="N23" s="466"/>
      <c r="O23" s="466"/>
      <c r="P23" s="466"/>
      <c r="Q23" s="466"/>
      <c r="R23" s="466"/>
      <c r="S23" s="389"/>
      <c r="T23" s="466"/>
      <c r="U23" s="466"/>
      <c r="V23" s="466"/>
      <c r="W23" s="466"/>
      <c r="X23" s="466"/>
      <c r="Y23" s="466"/>
      <c r="Z23" s="466"/>
      <c r="AA23" s="466"/>
      <c r="AB23" s="466"/>
      <c r="AC23" s="466"/>
      <c r="AD23" s="466"/>
      <c r="AE23" s="466"/>
      <c r="AF23" s="466"/>
      <c r="AG23" s="466"/>
      <c r="AH23" s="466"/>
      <c r="AI23" s="466"/>
      <c r="AJ23" s="466"/>
      <c r="AK23" s="419"/>
      <c r="AL23" s="32"/>
      <c r="AM23" s="14"/>
      <c r="AN23" s="14"/>
      <c r="AO23" s="14"/>
      <c r="AP23" s="14"/>
      <c r="AQ23" s="14"/>
    </row>
    <row r="24" spans="2:46">
      <c r="B24" s="198"/>
      <c r="C24" s="462" t="str">
        <f>VLOOKUP("street address",Translations!$A:$T,MATCH(AO7,Translations!A1:P1,0),0)</f>
        <v>Street, Address</v>
      </c>
      <c r="D24" s="462"/>
      <c r="E24" s="462"/>
      <c r="F24" s="462"/>
      <c r="G24" s="462"/>
      <c r="H24" s="462"/>
      <c r="I24" s="462"/>
      <c r="J24" s="462"/>
      <c r="K24" s="462"/>
      <c r="L24" s="462"/>
      <c r="M24" s="462"/>
      <c r="N24" s="462"/>
      <c r="O24" s="462"/>
      <c r="P24" s="462"/>
      <c r="Q24" s="462"/>
      <c r="R24" s="462"/>
      <c r="S24" s="389"/>
      <c r="T24" s="456" t="str">
        <f>VLOOKUP("buyerbuyercode",Translations!$A:$T,MATCH(AO7,Translations!A1:P1,0),0)</f>
        <v>Buyer / Buyer Code</v>
      </c>
      <c r="U24" s="456"/>
      <c r="V24" s="456"/>
      <c r="W24" s="456"/>
      <c r="X24" s="456"/>
      <c r="Y24" s="456"/>
      <c r="Z24" s="456"/>
      <c r="AA24" s="456"/>
      <c r="AB24" s="456"/>
      <c r="AC24" s="456"/>
      <c r="AD24" s="456"/>
      <c r="AE24" s="456"/>
      <c r="AF24" s="456"/>
      <c r="AG24" s="456"/>
      <c r="AH24" s="456"/>
      <c r="AI24" s="456"/>
      <c r="AJ24" s="456"/>
      <c r="AK24" s="419"/>
      <c r="AL24" s="32"/>
    </row>
    <row r="25" spans="2:46" ht="12.75" customHeight="1">
      <c r="B25" s="198"/>
      <c r="C25" s="466"/>
      <c r="D25" s="466"/>
      <c r="E25" s="466"/>
      <c r="F25" s="466"/>
      <c r="G25" s="466"/>
      <c r="H25" s="466"/>
      <c r="I25" s="466"/>
      <c r="J25" s="466"/>
      <c r="K25" s="466"/>
      <c r="L25" s="466"/>
      <c r="M25" s="466"/>
      <c r="N25" s="466"/>
      <c r="O25" s="466"/>
      <c r="P25" s="466"/>
      <c r="Q25" s="466"/>
      <c r="R25" s="466"/>
      <c r="S25" s="389"/>
      <c r="T25" s="466"/>
      <c r="U25" s="466"/>
      <c r="V25" s="466"/>
      <c r="W25" s="466"/>
      <c r="X25" s="466"/>
      <c r="Y25" s="466"/>
      <c r="Z25" s="466"/>
      <c r="AA25" s="466"/>
      <c r="AB25" s="466"/>
      <c r="AC25" s="466"/>
      <c r="AD25" s="466"/>
      <c r="AE25" s="466"/>
      <c r="AF25" s="466"/>
      <c r="AG25" s="466"/>
      <c r="AH25" s="466"/>
      <c r="AI25" s="466"/>
      <c r="AJ25" s="466"/>
      <c r="AK25" s="419"/>
      <c r="AL25" s="32"/>
      <c r="AM25" s="14"/>
      <c r="AN25" s="14"/>
      <c r="AO25" s="14"/>
      <c r="AP25" s="14"/>
      <c r="AQ25" s="14"/>
    </row>
    <row r="26" spans="2:46">
      <c r="B26" s="198"/>
      <c r="C26" s="462" t="str">
        <f>VLOOKUP("city",Translations!$A:$T,MATCH(AO7,Translations!A1:P1,0),0)</f>
        <v>City</v>
      </c>
      <c r="D26" s="462"/>
      <c r="E26" s="463" t="str">
        <f>VLOOKUP("region",Translations!$A:$T,MATCH(AO7,Translations!A1:P1,0),0)</f>
        <v>Region</v>
      </c>
      <c r="F26" s="463"/>
      <c r="G26" s="463"/>
      <c r="H26" s="463" t="str">
        <f>VLOOKUP("postalcode",Translations!$A:$T,MATCH(AO7,Translations!A1:P1,0),0)</f>
        <v>Postal Code</v>
      </c>
      <c r="I26" s="463"/>
      <c r="J26" s="463"/>
      <c r="K26" s="463"/>
      <c r="L26" s="384"/>
      <c r="M26" s="464" t="str">
        <f>VLOOKUP("country",Translations!$A:$T,MATCH(AO7,Translations!A1:P1,0),0)</f>
        <v>Country</v>
      </c>
      <c r="N26" s="464"/>
      <c r="O26" s="464"/>
      <c r="P26" s="464"/>
      <c r="Q26" s="464"/>
      <c r="R26" s="464"/>
      <c r="S26" s="389"/>
      <c r="T26" s="456" t="str">
        <f>VLOOKUP("application",Translations!$A:$T,MATCH(AO7,Translations!A1:P1,0),0)</f>
        <v>Application</v>
      </c>
      <c r="U26" s="456"/>
      <c r="V26" s="456"/>
      <c r="W26" s="456"/>
      <c r="X26" s="456"/>
      <c r="Y26" s="456"/>
      <c r="Z26" s="456"/>
      <c r="AA26" s="456"/>
      <c r="AB26" s="456"/>
      <c r="AC26" s="456"/>
      <c r="AD26" s="456"/>
      <c r="AE26" s="456"/>
      <c r="AF26" s="456"/>
      <c r="AG26" s="456"/>
      <c r="AH26" s="456"/>
      <c r="AI26" s="456"/>
      <c r="AJ26" s="456"/>
      <c r="AK26" s="419"/>
      <c r="AL26" s="32"/>
      <c r="AM26" s="14"/>
      <c r="AN26" s="14"/>
      <c r="AO26" s="20"/>
      <c r="AP26" s="14"/>
      <c r="AQ26" s="14"/>
    </row>
    <row r="27" spans="2:46" ht="7.5" customHeight="1">
      <c r="B27" s="198"/>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419"/>
      <c r="AL27" s="32"/>
    </row>
    <row r="28" spans="2:46">
      <c r="B28" s="198"/>
      <c r="C28" s="461" t="str">
        <f>VLOOKUP("materials reporting",Translations!$A:$T,MATCH(AO7,Translations!A1:P1,0),0)</f>
        <v>MATERIALS REPORTING</v>
      </c>
      <c r="D28" s="461"/>
      <c r="E28" s="461"/>
      <c r="F28" s="461"/>
      <c r="G28" s="461"/>
      <c r="H28" s="461"/>
      <c r="I28" s="461"/>
      <c r="J28" s="461"/>
      <c r="K28" s="461"/>
      <c r="L28" s="461"/>
      <c r="M28" s="461"/>
      <c r="N28" s="385"/>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419"/>
      <c r="AL28" s="32"/>
    </row>
    <row r="29" spans="2:46" ht="3" customHeight="1">
      <c r="B29" s="198"/>
      <c r="C29" s="385"/>
      <c r="D29" s="385"/>
      <c r="E29" s="385"/>
      <c r="F29" s="385"/>
      <c r="G29" s="385"/>
      <c r="H29" s="385"/>
      <c r="I29" s="385"/>
      <c r="J29" s="385"/>
      <c r="K29" s="385"/>
      <c r="L29" s="385"/>
      <c r="M29" s="385"/>
      <c r="N29" s="385"/>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419"/>
      <c r="AL29" s="32"/>
    </row>
    <row r="30" spans="2:46">
      <c r="B30" s="198"/>
      <c r="C30" s="456" t="str">
        <f>VLOOKUP("has customer-requred substancesofconcern",Translations!$A:$T,MATCH(AO7,Translations!A1:P1,0),0)</f>
        <v>Has customer-required Substances of Concern information been reported?</v>
      </c>
      <c r="D30" s="456"/>
      <c r="E30" s="456"/>
      <c r="F30" s="456"/>
      <c r="G30" s="456"/>
      <c r="H30" s="456"/>
      <c r="I30" s="456"/>
      <c r="J30" s="456"/>
      <c r="K30" s="456"/>
      <c r="L30" s="456"/>
      <c r="M30" s="456"/>
      <c r="N30" s="456"/>
      <c r="O30" s="456"/>
      <c r="P30" s="456"/>
      <c r="Q30" s="456"/>
      <c r="R30" s="456"/>
      <c r="S30" s="456"/>
      <c r="T30" s="456"/>
      <c r="U30" s="456"/>
      <c r="V30" s="456"/>
      <c r="W30" s="456"/>
      <c r="X30" s="389"/>
      <c r="Y30" s="27"/>
      <c r="Z30" s="27"/>
      <c r="AA30" s="275"/>
      <c r="AB30" s="456" t="str">
        <f>M14</f>
        <v>Yes</v>
      </c>
      <c r="AC30" s="456"/>
      <c r="AD30" s="275"/>
      <c r="AE30" s="383" t="str">
        <f>P14</f>
        <v>No</v>
      </c>
      <c r="AF30" s="26"/>
      <c r="AG30" s="26"/>
      <c r="AH30" s="275"/>
      <c r="AI30" s="389" t="str">
        <f>VLOOKUP("na",Translations!$A:$T,MATCH(AO7,Translations!A1:P1,0),0)</f>
        <v>n/a</v>
      </c>
      <c r="AJ30" s="389"/>
      <c r="AK30" s="419"/>
      <c r="AL30" s="32"/>
    </row>
    <row r="31" spans="2:46" ht="3" customHeight="1">
      <c r="B31" s="198"/>
      <c r="C31" s="383"/>
      <c r="D31" s="383"/>
      <c r="E31" s="383"/>
      <c r="F31" s="383"/>
      <c r="G31" s="383"/>
      <c r="H31" s="383"/>
      <c r="I31" s="383"/>
      <c r="J31" s="383"/>
      <c r="K31" s="383"/>
      <c r="L31" s="383"/>
      <c r="M31" s="383"/>
      <c r="N31" s="383"/>
      <c r="O31" s="383"/>
      <c r="P31" s="383"/>
      <c r="Q31" s="383"/>
      <c r="R31" s="383"/>
      <c r="S31" s="383"/>
      <c r="T31" s="383"/>
      <c r="U31" s="383"/>
      <c r="V31" s="383"/>
      <c r="W31" s="383"/>
      <c r="X31" s="389"/>
      <c r="Y31" s="27"/>
      <c r="Z31" s="27"/>
      <c r="AA31" s="2"/>
      <c r="AB31" s="2"/>
      <c r="AC31" s="2"/>
      <c r="AD31" s="2"/>
      <c r="AE31" s="2"/>
      <c r="AF31" s="2"/>
      <c r="AG31" s="2"/>
      <c r="AH31" s="2"/>
      <c r="AI31" s="2"/>
      <c r="AJ31" s="389"/>
      <c r="AK31" s="419"/>
      <c r="AL31" s="32"/>
    </row>
    <row r="32" spans="2:46">
      <c r="B32" s="198"/>
      <c r="C32" s="389"/>
      <c r="D32" s="455" t="str">
        <f>VLOOKUP("submitted by imds or other",Translations!$A:$T,MATCH(AO7,Translations!A1:P1,0),0)</f>
        <v>Submitted by IMDS or other customer format:</v>
      </c>
      <c r="E32" s="455"/>
      <c r="F32" s="455"/>
      <c r="G32" s="455"/>
      <c r="H32" s="455"/>
      <c r="I32" s="455"/>
      <c r="J32" s="455"/>
      <c r="K32" s="455"/>
      <c r="L32" s="455"/>
      <c r="M32" s="455"/>
      <c r="N32" s="455"/>
      <c r="O32" s="455"/>
      <c r="P32" s="455"/>
      <c r="Q32" s="455"/>
      <c r="R32" s="455"/>
      <c r="S32" s="455"/>
      <c r="T32" s="455"/>
      <c r="U32" s="455"/>
      <c r="V32" s="455"/>
      <c r="W32" s="466"/>
      <c r="X32" s="466"/>
      <c r="Y32" s="466"/>
      <c r="Z32" s="466"/>
      <c r="AA32" s="466"/>
      <c r="AB32" s="466"/>
      <c r="AC32" s="466"/>
      <c r="AD32" s="466"/>
      <c r="AE32" s="466"/>
      <c r="AF32" s="466"/>
      <c r="AG32" s="466"/>
      <c r="AH32" s="466"/>
      <c r="AI32" s="466"/>
      <c r="AJ32" s="466"/>
      <c r="AK32" s="419"/>
      <c r="AL32" s="32"/>
    </row>
    <row r="33" spans="2:40">
      <c r="B33" s="198"/>
      <c r="C33" s="460" t="str">
        <f>VLOOKUP("if submitted by imds",Translations!$A:$T,MATCH(AO7,Translations!A1:P1,0),0)</f>
        <v>(If submitted by IMDS, enter Module ID number, version and date transmitted)</v>
      </c>
      <c r="D33" s="460"/>
      <c r="E33" s="460"/>
      <c r="F33" s="460"/>
      <c r="G33" s="460"/>
      <c r="H33" s="460"/>
      <c r="I33" s="460"/>
      <c r="J33" s="460"/>
      <c r="K33" s="460"/>
      <c r="L33" s="460"/>
      <c r="M33" s="460"/>
      <c r="N33" s="460"/>
      <c r="O33" s="460"/>
      <c r="P33" s="460"/>
      <c r="Q33" s="460"/>
      <c r="R33" s="460"/>
      <c r="S33" s="460"/>
      <c r="T33" s="460"/>
      <c r="U33" s="460"/>
      <c r="V33" s="460"/>
      <c r="W33" s="467"/>
      <c r="X33" s="467"/>
      <c r="Y33" s="467"/>
      <c r="Z33" s="467"/>
      <c r="AA33" s="467"/>
      <c r="AB33" s="467"/>
      <c r="AC33" s="467"/>
      <c r="AD33" s="467"/>
      <c r="AE33" s="467"/>
      <c r="AF33" s="467"/>
      <c r="AG33" s="467"/>
      <c r="AH33" s="467"/>
      <c r="AI33" s="467"/>
      <c r="AJ33" s="467"/>
      <c r="AK33" s="419"/>
      <c r="AL33" s="32"/>
    </row>
    <row r="34" spans="2:40" ht="9.75" customHeight="1">
      <c r="B34" s="198"/>
      <c r="C34" s="460"/>
      <c r="D34" s="460"/>
      <c r="E34" s="460"/>
      <c r="F34" s="460"/>
      <c r="G34" s="460"/>
      <c r="H34" s="460"/>
      <c r="I34" s="460"/>
      <c r="J34" s="460"/>
      <c r="K34" s="460"/>
      <c r="L34" s="460"/>
      <c r="M34" s="460"/>
      <c r="N34" s="460"/>
      <c r="O34" s="460"/>
      <c r="P34" s="460"/>
      <c r="Q34" s="460"/>
      <c r="R34" s="460"/>
      <c r="S34" s="460"/>
      <c r="T34" s="460"/>
      <c r="U34" s="460"/>
      <c r="V34" s="460"/>
      <c r="W34" s="389"/>
      <c r="X34" s="389"/>
      <c r="Y34" s="27"/>
      <c r="Z34" s="27"/>
      <c r="AA34" s="389"/>
      <c r="AB34" s="389"/>
      <c r="AC34" s="389"/>
      <c r="AD34" s="389"/>
      <c r="AE34" s="389"/>
      <c r="AF34" s="389"/>
      <c r="AG34" s="389"/>
      <c r="AH34" s="389"/>
      <c r="AI34" s="389"/>
      <c r="AJ34" s="389"/>
      <c r="AK34" s="419"/>
      <c r="AL34" s="32"/>
    </row>
    <row r="35" spans="2:40" ht="3" customHeight="1">
      <c r="B35" s="198"/>
      <c r="C35" s="391"/>
      <c r="D35" s="391"/>
      <c r="E35" s="391"/>
      <c r="F35" s="391"/>
      <c r="G35" s="391"/>
      <c r="H35" s="391"/>
      <c r="I35" s="391"/>
      <c r="J35" s="391"/>
      <c r="K35" s="391"/>
      <c r="L35" s="391"/>
      <c r="M35" s="391"/>
      <c r="N35" s="391"/>
      <c r="O35" s="391"/>
      <c r="P35" s="391"/>
      <c r="Q35" s="391"/>
      <c r="R35" s="391"/>
      <c r="S35" s="391"/>
      <c r="T35" s="391"/>
      <c r="U35" s="391"/>
      <c r="V35" s="391"/>
      <c r="W35" s="389"/>
      <c r="X35" s="389"/>
      <c r="Y35" s="27"/>
      <c r="Z35" s="27"/>
      <c r="AA35" s="389"/>
      <c r="AB35" s="389"/>
      <c r="AC35" s="389"/>
      <c r="AD35" s="389"/>
      <c r="AE35" s="389"/>
      <c r="AF35" s="389"/>
      <c r="AG35" s="389"/>
      <c r="AH35" s="389"/>
      <c r="AI35" s="389"/>
      <c r="AJ35" s="389"/>
      <c r="AK35" s="419"/>
      <c r="AL35" s="32"/>
    </row>
    <row r="36" spans="2:40">
      <c r="B36" s="198"/>
      <c r="C36" s="455" t="str">
        <f>VLOOKUP("are polymericpartsidentified",Translations!$A:$T,MATCH(AO7,Translations!A1:P1,0),0)</f>
        <v>Are polymeric parts identified with appropriate ISO marking codes?</v>
      </c>
      <c r="D36" s="455"/>
      <c r="E36" s="455"/>
      <c r="F36" s="455"/>
      <c r="G36" s="455"/>
      <c r="H36" s="455"/>
      <c r="I36" s="455"/>
      <c r="J36" s="455"/>
      <c r="K36" s="455"/>
      <c r="L36" s="455"/>
      <c r="M36" s="455"/>
      <c r="N36" s="455"/>
      <c r="O36" s="455"/>
      <c r="P36" s="455"/>
      <c r="Q36" s="455"/>
      <c r="R36" s="455"/>
      <c r="S36" s="455"/>
      <c r="T36" s="455"/>
      <c r="U36" s="455"/>
      <c r="V36" s="455"/>
      <c r="W36" s="455"/>
      <c r="X36" s="26"/>
      <c r="Y36" s="27"/>
      <c r="Z36" s="27"/>
      <c r="AA36" s="275"/>
      <c r="AB36" s="389" t="str">
        <f>AB30</f>
        <v>Yes</v>
      </c>
      <c r="AC36" s="26"/>
      <c r="AD36" s="276"/>
      <c r="AE36" s="383" t="str">
        <f>AE30</f>
        <v>No</v>
      </c>
      <c r="AF36" s="26"/>
      <c r="AG36" s="26"/>
      <c r="AH36" s="275"/>
      <c r="AI36" s="389" t="str">
        <f>AI30</f>
        <v>n/a</v>
      </c>
      <c r="AJ36" s="389"/>
      <c r="AK36" s="419"/>
      <c r="AL36" s="32"/>
    </row>
    <row r="37" spans="2:40" ht="3" customHeight="1">
      <c r="B37" s="198"/>
      <c r="C37" s="386"/>
      <c r="D37" s="386"/>
      <c r="E37" s="386"/>
      <c r="F37" s="386"/>
      <c r="G37" s="386"/>
      <c r="H37" s="386"/>
      <c r="I37" s="386"/>
      <c r="J37" s="386"/>
      <c r="K37" s="386"/>
      <c r="L37" s="386"/>
      <c r="M37" s="386"/>
      <c r="N37" s="386"/>
      <c r="O37" s="386"/>
      <c r="P37" s="386"/>
      <c r="Q37" s="386"/>
      <c r="R37" s="386"/>
      <c r="S37" s="386"/>
      <c r="T37" s="386"/>
      <c r="U37" s="386"/>
      <c r="V37" s="386"/>
      <c r="W37" s="386"/>
      <c r="X37" s="26"/>
      <c r="Y37" s="27"/>
      <c r="Z37" s="27"/>
      <c r="AA37" s="26"/>
      <c r="AB37" s="389"/>
      <c r="AC37" s="26"/>
      <c r="AD37" s="389"/>
      <c r="AE37" s="383"/>
      <c r="AF37" s="26"/>
      <c r="AG37" s="26"/>
      <c r="AH37" s="26"/>
      <c r="AI37" s="389"/>
      <c r="AJ37" s="389"/>
      <c r="AK37" s="419"/>
      <c r="AL37" s="32"/>
    </row>
    <row r="38" spans="2:40" ht="3" customHeight="1">
      <c r="B38" s="198"/>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419"/>
      <c r="AL38" s="32"/>
    </row>
    <row r="39" spans="2:40" ht="12.75" customHeight="1">
      <c r="B39" s="198"/>
      <c r="C39" s="461" t="str">
        <f>VLOOKUP("reason for submissionchekat",Translations!$A:$T,MATCH(AO7,Translations!A1:P1,0),0)</f>
        <v>REASON FOR SUBMISSION (Check at least one)</v>
      </c>
      <c r="D39" s="461"/>
      <c r="E39" s="461"/>
      <c r="F39" s="461"/>
      <c r="G39" s="461"/>
      <c r="H39" s="461"/>
      <c r="I39" s="461"/>
      <c r="J39" s="461"/>
      <c r="K39" s="461"/>
      <c r="L39" s="461"/>
      <c r="M39" s="461"/>
      <c r="N39" s="461"/>
      <c r="O39" s="461"/>
      <c r="P39" s="461"/>
      <c r="Q39" s="461"/>
      <c r="R39" s="461"/>
      <c r="S39" s="461"/>
      <c r="T39" s="389"/>
      <c r="U39" s="389"/>
      <c r="V39" s="389"/>
      <c r="W39" s="389"/>
      <c r="X39" s="27"/>
      <c r="Y39" s="389"/>
      <c r="Z39" s="389"/>
      <c r="AA39" s="389"/>
      <c r="AB39" s="389"/>
      <c r="AC39" s="389"/>
      <c r="AD39" s="389"/>
      <c r="AE39" s="389"/>
      <c r="AF39" s="389"/>
      <c r="AG39" s="389"/>
      <c r="AH39" s="389"/>
      <c r="AI39" s="389"/>
      <c r="AJ39" s="389"/>
      <c r="AK39" s="419"/>
      <c r="AL39" s="32"/>
      <c r="AM39" s="11"/>
      <c r="AN39" s="11"/>
    </row>
    <row r="40" spans="2:40" ht="3" customHeight="1">
      <c r="B40" s="198"/>
      <c r="C40" s="385"/>
      <c r="D40" s="385"/>
      <c r="E40" s="385"/>
      <c r="F40" s="385"/>
      <c r="G40" s="385"/>
      <c r="H40" s="385"/>
      <c r="I40" s="385"/>
      <c r="J40" s="385"/>
      <c r="K40" s="385"/>
      <c r="L40" s="385"/>
      <c r="M40" s="385"/>
      <c r="N40" s="385"/>
      <c r="O40" s="385"/>
      <c r="P40" s="385"/>
      <c r="Q40" s="385"/>
      <c r="R40" s="385"/>
      <c r="S40" s="385"/>
      <c r="T40" s="389"/>
      <c r="U40" s="389"/>
      <c r="V40" s="389"/>
      <c r="W40" s="389"/>
      <c r="X40" s="27"/>
      <c r="Y40" s="389"/>
      <c r="Z40" s="389"/>
      <c r="AA40" s="389"/>
      <c r="AB40" s="389"/>
      <c r="AC40" s="389"/>
      <c r="AD40" s="389"/>
      <c r="AE40" s="389"/>
      <c r="AF40" s="389"/>
      <c r="AG40" s="389"/>
      <c r="AH40" s="389"/>
      <c r="AI40" s="389"/>
      <c r="AJ40" s="389"/>
      <c r="AK40" s="419"/>
      <c r="AL40" s="32"/>
      <c r="AM40" s="11"/>
      <c r="AN40" s="11"/>
    </row>
    <row r="41" spans="2:40" ht="3" customHeight="1">
      <c r="B41" s="198"/>
      <c r="C41" s="385"/>
      <c r="D41" s="385"/>
      <c r="E41" s="385"/>
      <c r="F41" s="385"/>
      <c r="G41" s="385"/>
      <c r="H41" s="385"/>
      <c r="I41" s="385"/>
      <c r="J41" s="385"/>
      <c r="K41" s="385"/>
      <c r="L41" s="385"/>
      <c r="M41" s="385"/>
      <c r="N41" s="385"/>
      <c r="O41" s="385"/>
      <c r="P41" s="385"/>
      <c r="Q41" s="385"/>
      <c r="R41" s="385"/>
      <c r="S41" s="385"/>
      <c r="T41" s="389"/>
      <c r="U41" s="389"/>
      <c r="V41" s="389"/>
      <c r="W41" s="389"/>
      <c r="X41" s="27"/>
      <c r="Y41" s="389"/>
      <c r="Z41" s="389"/>
      <c r="AA41" s="389"/>
      <c r="AB41" s="389"/>
      <c r="AC41" s="389"/>
      <c r="AD41" s="389"/>
      <c r="AE41" s="389"/>
      <c r="AF41" s="389"/>
      <c r="AG41" s="389"/>
      <c r="AH41" s="389"/>
      <c r="AI41" s="389"/>
      <c r="AJ41" s="389"/>
      <c r="AK41" s="419"/>
      <c r="AL41" s="32"/>
      <c r="AM41" s="11"/>
      <c r="AN41" s="11"/>
    </row>
    <row r="42" spans="2:40" ht="12.75" customHeight="1">
      <c r="B42" s="198"/>
      <c r="C42" s="274"/>
      <c r="D42" s="456" t="str">
        <f>VLOOKUP("initial submission",Translations!$A:$T,MATCH(AO7,Translations!A1:P1,0),0)</f>
        <v>Initial Submission</v>
      </c>
      <c r="E42" s="456"/>
      <c r="F42" s="456"/>
      <c r="G42" s="456"/>
      <c r="H42" s="456"/>
      <c r="I42" s="456"/>
      <c r="J42" s="456"/>
      <c r="K42" s="456"/>
      <c r="L42" s="456"/>
      <c r="M42" s="456"/>
      <c r="N42" s="456"/>
      <c r="O42" s="456"/>
      <c r="P42" s="456"/>
      <c r="Q42" s="456"/>
      <c r="R42" s="456"/>
      <c r="S42" s="456"/>
      <c r="T42" s="275"/>
      <c r="U42" s="457" t="str">
        <f>VLOOKUP("changetooptimalconstruction",Translations!$A:$T,MATCH(AO7,Translations!A1:P1,0),0)</f>
        <v>Change to Optimal Construction or Material</v>
      </c>
      <c r="V42" s="456"/>
      <c r="W42" s="456"/>
      <c r="X42" s="456"/>
      <c r="Y42" s="456"/>
      <c r="Z42" s="456"/>
      <c r="AA42" s="456"/>
      <c r="AB42" s="456"/>
      <c r="AC42" s="456"/>
      <c r="AD42" s="456"/>
      <c r="AE42" s="456"/>
      <c r="AF42" s="456"/>
      <c r="AG42" s="456"/>
      <c r="AH42" s="456"/>
      <c r="AI42" s="456"/>
      <c r="AJ42" s="456"/>
      <c r="AK42" s="458"/>
      <c r="AL42" s="32"/>
    </row>
    <row r="43" spans="2:40" ht="3" customHeight="1">
      <c r="B43" s="198"/>
      <c r="C43" s="153"/>
      <c r="D43" s="383"/>
      <c r="E43" s="383"/>
      <c r="F43" s="383"/>
      <c r="G43" s="383"/>
      <c r="H43" s="383"/>
      <c r="I43" s="383"/>
      <c r="J43" s="383"/>
      <c r="K43" s="383"/>
      <c r="L43" s="383"/>
      <c r="M43" s="383"/>
      <c r="N43" s="383"/>
      <c r="O43" s="383"/>
      <c r="P43" s="383"/>
      <c r="Q43" s="383"/>
      <c r="R43" s="383"/>
      <c r="S43" s="383"/>
      <c r="T43" s="155"/>
      <c r="U43" s="389"/>
      <c r="V43" s="383"/>
      <c r="W43" s="383"/>
      <c r="X43" s="383"/>
      <c r="Y43" s="383"/>
      <c r="Z43" s="383"/>
      <c r="AA43" s="383"/>
      <c r="AB43" s="383"/>
      <c r="AC43" s="383"/>
      <c r="AD43" s="383"/>
      <c r="AE43" s="383"/>
      <c r="AF43" s="383"/>
      <c r="AG43" s="383"/>
      <c r="AH43" s="383"/>
      <c r="AI43" s="383"/>
      <c r="AJ43" s="383"/>
      <c r="AK43" s="419"/>
      <c r="AL43" s="32"/>
    </row>
    <row r="44" spans="2:40" ht="3" customHeight="1">
      <c r="B44" s="198"/>
      <c r="C44" s="153"/>
      <c r="D44" s="383"/>
      <c r="E44" s="383"/>
      <c r="F44" s="383"/>
      <c r="G44" s="383"/>
      <c r="H44" s="383"/>
      <c r="I44" s="383"/>
      <c r="J44" s="383"/>
      <c r="K44" s="383"/>
      <c r="L44" s="383"/>
      <c r="M44" s="383"/>
      <c r="N44" s="383"/>
      <c r="O44" s="383"/>
      <c r="P44" s="383"/>
      <c r="Q44" s="383"/>
      <c r="R44" s="383"/>
      <c r="S44" s="383"/>
      <c r="T44" s="155"/>
      <c r="U44" s="389"/>
      <c r="V44" s="383"/>
      <c r="W44" s="383"/>
      <c r="X44" s="383"/>
      <c r="Y44" s="383"/>
      <c r="Z44" s="383"/>
      <c r="AA44" s="383"/>
      <c r="AB44" s="383"/>
      <c r="AC44" s="383"/>
      <c r="AD44" s="383"/>
      <c r="AE44" s="383"/>
      <c r="AF44" s="383"/>
      <c r="AG44" s="383"/>
      <c r="AH44" s="383"/>
      <c r="AI44" s="383"/>
      <c r="AJ44" s="383"/>
      <c r="AK44" s="419"/>
      <c r="AL44" s="32"/>
    </row>
    <row r="45" spans="2:40" ht="12.75" customHeight="1">
      <c r="B45" s="198"/>
      <c r="C45" s="275"/>
      <c r="D45" s="456" t="str">
        <f>VLOOKUP("engineeringchangesss",Translations!$A:$T,MATCH(AO7,Translations!A1:P1,0),0)</f>
        <v>Engineering Change(s)</v>
      </c>
      <c r="E45" s="456"/>
      <c r="F45" s="456"/>
      <c r="G45" s="456"/>
      <c r="H45" s="456"/>
      <c r="I45" s="456"/>
      <c r="J45" s="456"/>
      <c r="K45" s="456"/>
      <c r="L45" s="456"/>
      <c r="M45" s="456"/>
      <c r="N45" s="456"/>
      <c r="O45" s="456"/>
      <c r="P45" s="456"/>
      <c r="Q45" s="456"/>
      <c r="R45" s="456"/>
      <c r="S45" s="456"/>
      <c r="T45" s="275"/>
      <c r="U45" s="457" t="str">
        <f>VLOOKUP("subsupplierormaterialchange",Translations!$A:$T,MATCH(AO7,Translations!A1:P1,0),0)</f>
        <v>Supplier or Material Source Change</v>
      </c>
      <c r="V45" s="456"/>
      <c r="W45" s="456"/>
      <c r="X45" s="456"/>
      <c r="Y45" s="456"/>
      <c r="Z45" s="456"/>
      <c r="AA45" s="456"/>
      <c r="AB45" s="456"/>
      <c r="AC45" s="456"/>
      <c r="AD45" s="456"/>
      <c r="AE45" s="456"/>
      <c r="AF45" s="456"/>
      <c r="AG45" s="456"/>
      <c r="AH45" s="456"/>
      <c r="AI45" s="456"/>
      <c r="AJ45" s="456"/>
      <c r="AK45" s="458"/>
      <c r="AL45" s="32"/>
    </row>
    <row r="46" spans="2:40" ht="3" customHeight="1">
      <c r="B46" s="198"/>
      <c r="C46" s="154"/>
      <c r="D46" s="383"/>
      <c r="E46" s="383"/>
      <c r="F46" s="383"/>
      <c r="G46" s="383"/>
      <c r="H46" s="383"/>
      <c r="I46" s="383"/>
      <c r="J46" s="383"/>
      <c r="K46" s="383"/>
      <c r="L46" s="383"/>
      <c r="M46" s="383"/>
      <c r="N46" s="383"/>
      <c r="O46" s="383"/>
      <c r="P46" s="383"/>
      <c r="Q46" s="383"/>
      <c r="R46" s="383"/>
      <c r="S46" s="383"/>
      <c r="T46" s="155"/>
      <c r="U46" s="389"/>
      <c r="V46" s="383"/>
      <c r="W46" s="383"/>
      <c r="X46" s="383"/>
      <c r="Y46" s="383"/>
      <c r="Z46" s="383"/>
      <c r="AA46" s="383"/>
      <c r="AB46" s="383"/>
      <c r="AC46" s="383"/>
      <c r="AD46" s="383"/>
      <c r="AE46" s="383"/>
      <c r="AF46" s="383"/>
      <c r="AG46" s="383"/>
      <c r="AH46" s="383"/>
      <c r="AI46" s="383"/>
      <c r="AJ46" s="383"/>
      <c r="AK46" s="419"/>
      <c r="AL46" s="32"/>
    </row>
    <row r="47" spans="2:40" ht="3" customHeight="1">
      <c r="B47" s="198"/>
      <c r="C47" s="155"/>
      <c r="D47" s="383"/>
      <c r="E47" s="383"/>
      <c r="F47" s="383"/>
      <c r="G47" s="383"/>
      <c r="H47" s="383"/>
      <c r="I47" s="383"/>
      <c r="J47" s="383"/>
      <c r="K47" s="383"/>
      <c r="L47" s="383"/>
      <c r="M47" s="383"/>
      <c r="N47" s="383"/>
      <c r="O47" s="383"/>
      <c r="P47" s="383"/>
      <c r="Q47" s="383"/>
      <c r="R47" s="383"/>
      <c r="S47" s="383"/>
      <c r="T47" s="155"/>
      <c r="U47" s="389"/>
      <c r="V47" s="383"/>
      <c r="W47" s="383"/>
      <c r="X47" s="383"/>
      <c r="Y47" s="383"/>
      <c r="Z47" s="383"/>
      <c r="AA47" s="383"/>
      <c r="AB47" s="383"/>
      <c r="AC47" s="383"/>
      <c r="AD47" s="383"/>
      <c r="AE47" s="383"/>
      <c r="AF47" s="383"/>
      <c r="AG47" s="383"/>
      <c r="AH47" s="383"/>
      <c r="AI47" s="383"/>
      <c r="AJ47" s="383"/>
      <c r="AK47" s="419"/>
      <c r="AL47" s="32"/>
    </row>
    <row r="48" spans="2:40" ht="12.75" customHeight="1">
      <c r="B48" s="198"/>
      <c r="C48" s="275"/>
      <c r="D48" s="456" t="str">
        <f>VLOOKUP("toolingtransferreplacement",Translations!$A:$T,MATCH(AO7,Translations!A1:P1,0),0)</f>
        <v>Tooling: Transfer, Replacement, Refurbishment or additional</v>
      </c>
      <c r="E48" s="456"/>
      <c r="F48" s="456"/>
      <c r="G48" s="456"/>
      <c r="H48" s="456"/>
      <c r="I48" s="456"/>
      <c r="J48" s="456"/>
      <c r="K48" s="456"/>
      <c r="L48" s="456"/>
      <c r="M48" s="456"/>
      <c r="N48" s="456"/>
      <c r="O48" s="456"/>
      <c r="P48" s="456"/>
      <c r="Q48" s="456"/>
      <c r="R48" s="456"/>
      <c r="S48" s="456"/>
      <c r="T48" s="275"/>
      <c r="U48" s="457" t="str">
        <f>VLOOKUP("changeinpartprocessing",Translations!$A:$T,MATCH(AO7,Translations!A1:P1,0),0)</f>
        <v>Change in Part Processing</v>
      </c>
      <c r="V48" s="456"/>
      <c r="W48" s="456"/>
      <c r="X48" s="456"/>
      <c r="Y48" s="456"/>
      <c r="Z48" s="456"/>
      <c r="AA48" s="456"/>
      <c r="AB48" s="456"/>
      <c r="AC48" s="456"/>
      <c r="AD48" s="456"/>
      <c r="AE48" s="456"/>
      <c r="AF48" s="456"/>
      <c r="AG48" s="456"/>
      <c r="AH48" s="456"/>
      <c r="AI48" s="456"/>
      <c r="AJ48" s="456"/>
      <c r="AK48" s="458"/>
      <c r="AL48" s="32"/>
    </row>
    <row r="49" spans="2:46" ht="3" customHeight="1">
      <c r="B49" s="198"/>
      <c r="C49" s="154"/>
      <c r="D49" s="383"/>
      <c r="E49" s="383"/>
      <c r="F49" s="383"/>
      <c r="G49" s="383"/>
      <c r="H49" s="383"/>
      <c r="I49" s="383"/>
      <c r="J49" s="383"/>
      <c r="K49" s="383"/>
      <c r="L49" s="383"/>
      <c r="M49" s="383"/>
      <c r="N49" s="383"/>
      <c r="O49" s="383"/>
      <c r="P49" s="383"/>
      <c r="Q49" s="383"/>
      <c r="R49" s="383"/>
      <c r="S49" s="383"/>
      <c r="T49" s="155"/>
      <c r="U49" s="389"/>
      <c r="V49" s="383"/>
      <c r="W49" s="383"/>
      <c r="X49" s="383"/>
      <c r="Y49" s="383"/>
      <c r="Z49" s="383"/>
      <c r="AA49" s="383"/>
      <c r="AB49" s="383"/>
      <c r="AC49" s="383"/>
      <c r="AD49" s="383"/>
      <c r="AE49" s="383"/>
      <c r="AF49" s="383"/>
      <c r="AG49" s="383"/>
      <c r="AH49" s="383"/>
      <c r="AI49" s="383"/>
      <c r="AJ49" s="383"/>
      <c r="AK49" s="419"/>
      <c r="AL49" s="32"/>
    </row>
    <row r="50" spans="2:46" ht="3" customHeight="1">
      <c r="B50" s="198"/>
      <c r="C50" s="154"/>
      <c r="D50" s="383"/>
      <c r="E50" s="383"/>
      <c r="F50" s="383"/>
      <c r="G50" s="383"/>
      <c r="H50" s="383"/>
      <c r="I50" s="383"/>
      <c r="J50" s="383"/>
      <c r="K50" s="383"/>
      <c r="L50" s="383"/>
      <c r="M50" s="383"/>
      <c r="N50" s="383"/>
      <c r="O50" s="383"/>
      <c r="P50" s="383"/>
      <c r="Q50" s="383"/>
      <c r="R50" s="383"/>
      <c r="S50" s="383"/>
      <c r="T50" s="155"/>
      <c r="U50" s="389"/>
      <c r="V50" s="383"/>
      <c r="W50" s="383"/>
      <c r="X50" s="383"/>
      <c r="Y50" s="383"/>
      <c r="Z50" s="383"/>
      <c r="AA50" s="383"/>
      <c r="AB50" s="383"/>
      <c r="AC50" s="383"/>
      <c r="AD50" s="383"/>
      <c r="AE50" s="383"/>
      <c r="AF50" s="383"/>
      <c r="AG50" s="383"/>
      <c r="AH50" s="383"/>
      <c r="AI50" s="383"/>
      <c r="AJ50" s="383"/>
      <c r="AK50" s="419"/>
      <c r="AL50" s="32"/>
    </row>
    <row r="51" spans="2:46" ht="12.75" customHeight="1">
      <c r="B51" s="198"/>
      <c r="C51" s="275"/>
      <c r="D51" s="456" t="str">
        <f>VLOOKUP("correctionofdiscrepancy",Translations!$A:$T,MATCH(AO7,Translations!A1:P1,0),0)</f>
        <v>Correction of Discrepancy</v>
      </c>
      <c r="E51" s="456"/>
      <c r="F51" s="456"/>
      <c r="G51" s="456"/>
      <c r="H51" s="456"/>
      <c r="I51" s="456"/>
      <c r="J51" s="456"/>
      <c r="K51" s="456"/>
      <c r="L51" s="456"/>
      <c r="M51" s="456"/>
      <c r="N51" s="456"/>
      <c r="O51" s="456"/>
      <c r="P51" s="456"/>
      <c r="Q51" s="456"/>
      <c r="R51" s="456"/>
      <c r="S51" s="456"/>
      <c r="T51" s="275"/>
      <c r="U51" s="457" t="str">
        <f>VLOOKUP("partsproducedatadditionalloc",Translations!$A:$T,MATCH(AO7,Translations!A1:P1,0),0)</f>
        <v>Part Produced at Additional Location</v>
      </c>
      <c r="V51" s="456"/>
      <c r="W51" s="456"/>
      <c r="X51" s="456"/>
      <c r="Y51" s="456"/>
      <c r="Z51" s="456"/>
      <c r="AA51" s="456"/>
      <c r="AB51" s="456"/>
      <c r="AC51" s="456"/>
      <c r="AD51" s="456"/>
      <c r="AE51" s="456"/>
      <c r="AF51" s="456"/>
      <c r="AG51" s="456"/>
      <c r="AH51" s="456"/>
      <c r="AI51" s="456"/>
      <c r="AJ51" s="456"/>
      <c r="AK51" s="458"/>
      <c r="AL51" s="32"/>
    </row>
    <row r="52" spans="2:46" ht="3" customHeight="1">
      <c r="B52" s="198"/>
      <c r="C52" s="154"/>
      <c r="D52" s="383"/>
      <c r="E52" s="383"/>
      <c r="F52" s="383"/>
      <c r="G52" s="383"/>
      <c r="H52" s="383"/>
      <c r="I52" s="383"/>
      <c r="J52" s="383"/>
      <c r="K52" s="383"/>
      <c r="L52" s="383"/>
      <c r="M52" s="383"/>
      <c r="N52" s="383"/>
      <c r="O52" s="383"/>
      <c r="P52" s="383"/>
      <c r="Q52" s="383"/>
      <c r="R52" s="383"/>
      <c r="S52" s="383"/>
      <c r="T52" s="155"/>
      <c r="U52" s="389"/>
      <c r="V52" s="383"/>
      <c r="W52" s="383"/>
      <c r="X52" s="383"/>
      <c r="Y52" s="383"/>
      <c r="Z52" s="383"/>
      <c r="AA52" s="383"/>
      <c r="AB52" s="383"/>
      <c r="AC52" s="383"/>
      <c r="AD52" s="383"/>
      <c r="AE52" s="383"/>
      <c r="AF52" s="383"/>
      <c r="AG52" s="383"/>
      <c r="AH52" s="383"/>
      <c r="AI52" s="383"/>
      <c r="AJ52" s="383"/>
      <c r="AK52" s="419"/>
      <c r="AL52" s="32"/>
    </row>
    <row r="53" spans="2:46" ht="3" customHeight="1">
      <c r="B53" s="198"/>
      <c r="C53" s="154"/>
      <c r="D53" s="383"/>
      <c r="E53" s="383"/>
      <c r="F53" s="383"/>
      <c r="G53" s="383"/>
      <c r="H53" s="383"/>
      <c r="I53" s="383"/>
      <c r="J53" s="383"/>
      <c r="K53" s="383"/>
      <c r="L53" s="383"/>
      <c r="M53" s="383"/>
      <c r="N53" s="383"/>
      <c r="O53" s="383"/>
      <c r="P53" s="383"/>
      <c r="Q53" s="383"/>
      <c r="R53" s="383"/>
      <c r="S53" s="383"/>
      <c r="T53" s="155"/>
      <c r="U53" s="389"/>
      <c r="V53" s="383"/>
      <c r="W53" s="383"/>
      <c r="X53" s="383"/>
      <c r="Y53" s="383"/>
      <c r="Z53" s="383"/>
      <c r="AA53" s="383"/>
      <c r="AB53" s="383"/>
      <c r="AC53" s="383"/>
      <c r="AD53" s="383"/>
      <c r="AE53" s="383"/>
      <c r="AF53" s="383"/>
      <c r="AG53" s="383"/>
      <c r="AH53" s="383"/>
      <c r="AI53" s="383"/>
      <c r="AJ53" s="383"/>
      <c r="AK53" s="419"/>
      <c r="AL53" s="32"/>
    </row>
    <row r="54" spans="2:46" ht="12.75" customHeight="1">
      <c r="B54" s="198"/>
      <c r="C54" s="275"/>
      <c r="D54" s="456" t="str">
        <f>VLOOKUP("toolinginactive",Translations!$A:$T,MATCH(AO7,Translations!A1:P1,0),0)</f>
        <v>Tooling inactive &gt; than 1 year</v>
      </c>
      <c r="E54" s="456"/>
      <c r="F54" s="456"/>
      <c r="G54" s="456"/>
      <c r="H54" s="456"/>
      <c r="I54" s="456"/>
      <c r="J54" s="456"/>
      <c r="K54" s="456"/>
      <c r="L54" s="456"/>
      <c r="M54" s="456"/>
      <c r="N54" s="456"/>
      <c r="O54" s="456"/>
      <c r="P54" s="456"/>
      <c r="Q54" s="456"/>
      <c r="R54" s="456"/>
      <c r="S54" s="456"/>
      <c r="T54" s="275"/>
      <c r="U54" s="457" t="str">
        <f>VLOOKUP("other please spec",Translations!$A:$T,MATCH(AO7,Translations!A1:P1,0),0)</f>
        <v>Other - please specify below</v>
      </c>
      <c r="V54" s="456"/>
      <c r="W54" s="456"/>
      <c r="X54" s="456"/>
      <c r="Y54" s="456"/>
      <c r="Z54" s="456"/>
      <c r="AA54" s="456"/>
      <c r="AB54" s="456"/>
      <c r="AC54" s="456"/>
      <c r="AD54" s="456"/>
      <c r="AE54" s="456"/>
      <c r="AF54" s="456"/>
      <c r="AG54" s="456"/>
      <c r="AH54" s="456"/>
      <c r="AI54" s="456"/>
      <c r="AJ54" s="456"/>
      <c r="AK54" s="419"/>
      <c r="AL54" s="32"/>
    </row>
    <row r="55" spans="2:46" ht="3" customHeight="1">
      <c r="B55" s="198"/>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419"/>
      <c r="AL55" s="32"/>
    </row>
    <row r="56" spans="2:46" ht="3" customHeight="1">
      <c r="B56" s="198"/>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419"/>
      <c r="AL56" s="32"/>
    </row>
    <row r="57" spans="2:46">
      <c r="B57" s="198"/>
      <c r="C57" s="461" t="str">
        <f>VLOOKUP("requestedsubmissionlevel",Translations!$A:$T,MATCH(AO7,Translations!A1:P1,0),0)</f>
        <v>REQUESTED SUBMISSION LEVEL (Check one)</v>
      </c>
      <c r="D57" s="461"/>
      <c r="E57" s="461"/>
      <c r="F57" s="461"/>
      <c r="G57" s="461"/>
      <c r="H57" s="461"/>
      <c r="I57" s="461"/>
      <c r="J57" s="461"/>
      <c r="K57" s="461"/>
      <c r="L57" s="461"/>
      <c r="M57" s="461"/>
      <c r="N57" s="461"/>
      <c r="O57" s="461"/>
      <c r="P57" s="461"/>
      <c r="Q57" s="461"/>
      <c r="R57" s="461"/>
      <c r="S57" s="461"/>
      <c r="T57" s="466"/>
      <c r="U57" s="466"/>
      <c r="V57" s="466"/>
      <c r="W57" s="466"/>
      <c r="X57" s="466"/>
      <c r="Y57" s="466"/>
      <c r="Z57" s="466"/>
      <c r="AA57" s="466"/>
      <c r="AB57" s="466"/>
      <c r="AC57" s="466"/>
      <c r="AD57" s="466"/>
      <c r="AE57" s="466"/>
      <c r="AF57" s="466"/>
      <c r="AG57" s="466"/>
      <c r="AH57" s="466"/>
      <c r="AI57" s="466"/>
      <c r="AJ57" s="466"/>
      <c r="AK57" s="419"/>
      <c r="AL57" s="32"/>
    </row>
    <row r="58" spans="2:46" ht="3" customHeight="1">
      <c r="B58" s="198"/>
      <c r="C58" s="385"/>
      <c r="D58" s="385"/>
      <c r="E58" s="385"/>
      <c r="F58" s="385"/>
      <c r="G58" s="385"/>
      <c r="H58" s="385"/>
      <c r="I58" s="385"/>
      <c r="J58" s="385"/>
      <c r="K58" s="385"/>
      <c r="L58" s="385"/>
      <c r="M58" s="385"/>
      <c r="N58" s="385"/>
      <c r="O58" s="385"/>
      <c r="P58" s="385"/>
      <c r="Q58" s="385"/>
      <c r="R58" s="385"/>
      <c r="S58" s="385"/>
      <c r="T58" s="2"/>
      <c r="U58" s="2"/>
      <c r="V58" s="2"/>
      <c r="W58" s="2"/>
      <c r="X58" s="2"/>
      <c r="Y58" s="2"/>
      <c r="Z58" s="2"/>
      <c r="AA58" s="2"/>
      <c r="AB58" s="2"/>
      <c r="AC58" s="2"/>
      <c r="AD58" s="2"/>
      <c r="AE58" s="2"/>
      <c r="AF58" s="2"/>
      <c r="AG58" s="2"/>
      <c r="AH58" s="2"/>
      <c r="AI58" s="2"/>
      <c r="AJ58" s="2"/>
      <c r="AK58" s="419"/>
      <c r="AL58" s="32"/>
    </row>
    <row r="59" spans="2:46" ht="3" customHeight="1">
      <c r="B59" s="198"/>
      <c r="C59" s="385"/>
      <c r="D59" s="385"/>
      <c r="E59" s="385"/>
      <c r="F59" s="385"/>
      <c r="G59" s="385"/>
      <c r="H59" s="385"/>
      <c r="I59" s="385"/>
      <c r="J59" s="385"/>
      <c r="K59" s="385"/>
      <c r="L59" s="385"/>
      <c r="M59" s="385"/>
      <c r="N59" s="385"/>
      <c r="O59" s="385"/>
      <c r="P59" s="385"/>
      <c r="Q59" s="385"/>
      <c r="R59" s="385"/>
      <c r="S59" s="385"/>
      <c r="T59" s="2"/>
      <c r="U59" s="2"/>
      <c r="V59" s="2"/>
      <c r="W59" s="2"/>
      <c r="X59" s="2"/>
      <c r="Y59" s="2"/>
      <c r="Z59" s="2"/>
      <c r="AA59" s="2"/>
      <c r="AB59" s="2"/>
      <c r="AC59" s="2"/>
      <c r="AD59" s="2"/>
      <c r="AE59" s="2"/>
      <c r="AF59" s="2"/>
      <c r="AG59" s="2"/>
      <c r="AH59" s="2"/>
      <c r="AI59" s="2"/>
      <c r="AJ59" s="2"/>
      <c r="AK59" s="419"/>
      <c r="AL59" s="32"/>
    </row>
    <row r="60" spans="2:46" ht="12.75" customHeight="1">
      <c r="B60" s="198"/>
      <c r="C60" s="275"/>
      <c r="D60" s="457" t="str">
        <f>VLOOKUP("level1",Translations!$A:$T,MATCH(AO7,Translations!A1:P1,0),0)</f>
        <v>Level 1 - Warrant only (and for designated appearance items, an Appearance Approval Report) submitted to customer</v>
      </c>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8"/>
      <c r="AL60" s="32"/>
      <c r="AM60" s="15"/>
      <c r="AN60" s="15"/>
      <c r="AO60" s="15"/>
      <c r="AP60" s="15"/>
      <c r="AQ60" s="15"/>
      <c r="AR60" s="16"/>
      <c r="AS60" s="16"/>
      <c r="AT60" s="16"/>
    </row>
    <row r="61" spans="2:46" ht="3" customHeight="1">
      <c r="B61" s="198"/>
      <c r="C61" s="119"/>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419"/>
      <c r="AL61" s="32"/>
      <c r="AM61" s="15"/>
      <c r="AN61" s="15"/>
      <c r="AO61" s="15"/>
      <c r="AP61" s="15"/>
      <c r="AQ61" s="15"/>
      <c r="AR61" s="16"/>
      <c r="AS61" s="16"/>
      <c r="AT61" s="16"/>
    </row>
    <row r="62" spans="2:46" ht="3" customHeight="1">
      <c r="B62" s="198"/>
      <c r="C62" s="119"/>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419"/>
      <c r="AL62" s="32"/>
      <c r="AM62" s="15"/>
      <c r="AN62" s="15"/>
      <c r="AO62" s="15"/>
      <c r="AP62" s="15"/>
      <c r="AQ62" s="15"/>
      <c r="AR62" s="16"/>
      <c r="AS62" s="16"/>
      <c r="AT62" s="16"/>
    </row>
    <row r="63" spans="2:46" ht="12.75" customHeight="1">
      <c r="B63" s="198"/>
      <c r="C63" s="275"/>
      <c r="D63" s="457" t="str">
        <f>VLOOKUP("level2",Translations!$A:$T,MATCH(AO7,Translations!A1:P1,0),0)</f>
        <v>Level 2 - Warrant with product samples and limited supporting data submitted to customer</v>
      </c>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8"/>
      <c r="AL63" s="32"/>
    </row>
    <row r="64" spans="2:46" ht="3" customHeight="1">
      <c r="B64" s="198"/>
      <c r="C64" s="119"/>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419"/>
      <c r="AL64" s="32"/>
    </row>
    <row r="65" spans="2:38" ht="3" customHeight="1">
      <c r="B65" s="198"/>
      <c r="C65" s="119"/>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419"/>
      <c r="AL65" s="32"/>
    </row>
    <row r="66" spans="2:38" ht="12.75" customHeight="1">
      <c r="B66" s="198"/>
      <c r="C66" s="275"/>
      <c r="D66" s="457" t="str">
        <f>VLOOKUP("level3",Translations!$A:$T,MATCH(AO7,Translations!A1:P1,0),0)</f>
        <v>Level 3 - Warrant with product samples and complete supporting data submitted to customer</v>
      </c>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8"/>
      <c r="AL66" s="32"/>
    </row>
    <row r="67" spans="2:38" ht="3" customHeight="1">
      <c r="B67" s="198"/>
      <c r="C67" s="119"/>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419"/>
      <c r="AL67" s="32"/>
    </row>
    <row r="68" spans="2:38" ht="3" customHeight="1">
      <c r="B68" s="198"/>
      <c r="C68" s="119"/>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419"/>
      <c r="AL68" s="32"/>
    </row>
    <row r="69" spans="2:38" ht="12.75" customHeight="1">
      <c r="B69" s="198"/>
      <c r="C69" s="275"/>
      <c r="D69" s="457" t="str">
        <f>VLOOKUP("level4",Translations!$A:$T,MATCH(AO7,Translations!A1:P1,0),0)</f>
        <v>Level 4 - Warrant and other requirements as defined by customer</v>
      </c>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8"/>
      <c r="AL69" s="32"/>
    </row>
    <row r="70" spans="2:38" ht="3" customHeight="1">
      <c r="B70" s="198"/>
      <c r="C70" s="119"/>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419"/>
      <c r="AL70" s="32"/>
    </row>
    <row r="71" spans="2:38" ht="3" customHeight="1">
      <c r="B71" s="198"/>
      <c r="C71" s="119"/>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419"/>
      <c r="AL71" s="32"/>
    </row>
    <row r="72" spans="2:38" ht="12.75" customHeight="1">
      <c r="B72" s="198"/>
      <c r="C72" s="275"/>
      <c r="D72" s="457" t="str">
        <f>VLOOKUP("level5",Translations!$A:$T,MATCH(AO7,Translations!A1:P1,0),0)</f>
        <v>Level 5 - Warrant with product samples and complete supporting data reviewed at supplier´s manufacturing location</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456"/>
      <c r="AJ72" s="456"/>
      <c r="AK72" s="458"/>
      <c r="AL72" s="32"/>
    </row>
    <row r="73" spans="2:38" ht="3" customHeight="1">
      <c r="B73" s="198"/>
      <c r="C73" s="389"/>
      <c r="D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419"/>
      <c r="AL73" s="32"/>
    </row>
    <row r="74" spans="2:38">
      <c r="B74" s="198"/>
      <c r="C74" s="461" t="str">
        <f>VLOOKUP("submissionresults",Translations!$A:$T,MATCH(AO7,Translations!A1:P1,0),0)</f>
        <v>SUBMISSION RESULTS</v>
      </c>
      <c r="D74" s="461"/>
      <c r="E74" s="461"/>
      <c r="F74" s="461"/>
      <c r="G74" s="461"/>
      <c r="H74" s="461"/>
      <c r="I74" s="461"/>
      <c r="J74" s="461"/>
      <c r="K74" s="461"/>
      <c r="L74" s="461"/>
      <c r="M74" s="461"/>
      <c r="N74" s="461"/>
      <c r="O74" s="461"/>
      <c r="P74" s="461"/>
      <c r="Q74" s="461"/>
      <c r="R74" s="389"/>
      <c r="S74" s="389"/>
      <c r="T74" s="389"/>
      <c r="U74" s="389"/>
      <c r="V74" s="389"/>
      <c r="W74" s="389"/>
      <c r="X74" s="389"/>
      <c r="Y74" s="389"/>
      <c r="Z74" s="389"/>
      <c r="AA74" s="389"/>
      <c r="AB74" s="389"/>
      <c r="AC74" s="389"/>
      <c r="AD74" s="389"/>
      <c r="AE74" s="389"/>
      <c r="AF74" s="389"/>
      <c r="AG74" s="389"/>
      <c r="AH74" s="389"/>
      <c r="AI74" s="389"/>
      <c r="AJ74" s="389"/>
      <c r="AK74" s="419"/>
      <c r="AL74" s="32"/>
    </row>
    <row r="75" spans="2:38" ht="3" customHeight="1">
      <c r="B75" s="198"/>
      <c r="C75" s="385"/>
      <c r="D75" s="385"/>
      <c r="E75" s="385"/>
      <c r="F75" s="385"/>
      <c r="G75" s="385"/>
      <c r="H75" s="385"/>
      <c r="I75" s="385"/>
      <c r="J75" s="385"/>
      <c r="K75" s="385"/>
      <c r="L75" s="385"/>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419"/>
      <c r="AL75" s="32"/>
    </row>
    <row r="76" spans="2:38" ht="12.75" customHeight="1">
      <c r="B76" s="485" t="str">
        <f>VLOOKUP("the results for",Translations!$A:$T,MATCH(AO7,Translations!A1:P1,0),0)</f>
        <v>The results for</v>
      </c>
      <c r="C76" s="468"/>
      <c r="D76" s="468"/>
      <c r="E76" s="486"/>
      <c r="F76" s="275"/>
      <c r="G76" s="470" t="str">
        <f>VLOOKUP("dimensionalmeasure",Translations!$A:$T,MATCH(AO7,Translations!A1:P1,0),0)</f>
        <v>dimensional measurements</v>
      </c>
      <c r="H76" s="471"/>
      <c r="I76" s="471"/>
      <c r="J76" s="471"/>
      <c r="K76" s="471"/>
      <c r="L76" s="471"/>
      <c r="M76" s="275"/>
      <c r="N76" s="470" t="str">
        <f>VLOOKUP("materialandfunction",Translations!$A:$T,MATCH(AO7,Translations!A1:P1,0),0)</f>
        <v>material and functional tests</v>
      </c>
      <c r="O76" s="471"/>
      <c r="P76" s="471"/>
      <c r="Q76" s="471"/>
      <c r="R76" s="471"/>
      <c r="S76" s="471"/>
      <c r="T76" s="471"/>
      <c r="U76" s="471"/>
      <c r="V76" s="277"/>
      <c r="W76" s="457" t="str">
        <f>VLOOKUP("appearacecrit",Translations!$A:$T,MATCH(AO7,Translations!A1:P1,0),0)</f>
        <v>appearance criteria</v>
      </c>
      <c r="X76" s="456"/>
      <c r="Y76" s="456"/>
      <c r="Z76" s="456"/>
      <c r="AA76" s="456"/>
      <c r="AB76" s="456"/>
      <c r="AC76" s="456"/>
      <c r="AD76" s="456"/>
      <c r="AE76" s="472"/>
      <c r="AF76" s="275"/>
      <c r="AG76" s="457" t="str">
        <f>VLOOKUP("statistical process",Translations!$A:$T,MATCH(AO7,Translations!A1:P1,0),0)</f>
        <v>statistical process package</v>
      </c>
      <c r="AH76" s="456"/>
      <c r="AI76" s="456"/>
      <c r="AJ76" s="456"/>
      <c r="AK76" s="458"/>
      <c r="AL76" s="32"/>
    </row>
    <row r="77" spans="2:38" ht="3" customHeight="1">
      <c r="B77" s="198"/>
      <c r="C77" s="383"/>
      <c r="D77" s="383"/>
      <c r="E77" s="383"/>
      <c r="F77" s="119"/>
      <c r="G77" s="387"/>
      <c r="H77" s="387"/>
      <c r="I77" s="387"/>
      <c r="J77" s="387"/>
      <c r="K77" s="387"/>
      <c r="L77" s="387"/>
      <c r="M77" s="387"/>
      <c r="N77" s="119"/>
      <c r="O77" s="387"/>
      <c r="P77" s="387"/>
      <c r="Q77" s="387"/>
      <c r="R77" s="387"/>
      <c r="S77" s="387"/>
      <c r="T77" s="387"/>
      <c r="U77" s="387"/>
      <c r="V77" s="387"/>
      <c r="W77" s="387"/>
      <c r="X77" s="120"/>
      <c r="Y77" s="26"/>
      <c r="Z77" s="383"/>
      <c r="AA77" s="383"/>
      <c r="AB77" s="383"/>
      <c r="AC77" s="383"/>
      <c r="AD77" s="383"/>
      <c r="AE77" s="383"/>
      <c r="AF77" s="116"/>
      <c r="AG77" s="116"/>
      <c r="AH77" s="383"/>
      <c r="AI77" s="383"/>
      <c r="AJ77" s="383"/>
      <c r="AK77" s="422"/>
      <c r="AL77" s="32"/>
    </row>
    <row r="78" spans="2:38" ht="3" customHeight="1">
      <c r="B78" s="198"/>
      <c r="C78" s="383"/>
      <c r="D78" s="383"/>
      <c r="E78" s="383"/>
      <c r="F78" s="119"/>
      <c r="G78" s="387"/>
      <c r="H78" s="387"/>
      <c r="I78" s="387"/>
      <c r="J78" s="387"/>
      <c r="K78" s="387"/>
      <c r="L78" s="387"/>
      <c r="M78" s="387"/>
      <c r="N78" s="119"/>
      <c r="O78" s="387"/>
      <c r="P78" s="387"/>
      <c r="Q78" s="387"/>
      <c r="R78" s="387"/>
      <c r="S78" s="387"/>
      <c r="T78" s="387"/>
      <c r="U78" s="387"/>
      <c r="V78" s="387"/>
      <c r="W78" s="387"/>
      <c r="X78" s="120"/>
      <c r="Y78" s="26"/>
      <c r="Z78" s="383"/>
      <c r="AA78" s="383"/>
      <c r="AB78" s="383"/>
      <c r="AC78" s="383"/>
      <c r="AD78" s="383"/>
      <c r="AE78" s="383"/>
      <c r="AF78" s="116"/>
      <c r="AG78" s="116"/>
      <c r="AH78" s="383"/>
      <c r="AI78" s="383"/>
      <c r="AJ78" s="383"/>
      <c r="AK78" s="422"/>
      <c r="AL78" s="32"/>
    </row>
    <row r="79" spans="2:38" ht="12.75" customHeight="1">
      <c r="B79" s="198"/>
      <c r="C79" s="487" t="str">
        <f>VLOOKUP("these results meet",Translations!$A:$T,MATCH(AO7,Translations!A1:P1,0),0)</f>
        <v>These results meet all drawing and specification requirements:</v>
      </c>
      <c r="D79" s="487"/>
      <c r="E79" s="487"/>
      <c r="F79" s="487"/>
      <c r="G79" s="487"/>
      <c r="H79" s="487"/>
      <c r="I79" s="487"/>
      <c r="J79" s="487"/>
      <c r="K79" s="487"/>
      <c r="L79" s="487"/>
      <c r="M79" s="487"/>
      <c r="N79" s="487"/>
      <c r="O79" s="487"/>
      <c r="P79" s="487"/>
      <c r="Q79" s="487"/>
      <c r="R79" s="487"/>
      <c r="S79" s="487"/>
      <c r="T79" s="389"/>
      <c r="U79" s="389"/>
      <c r="V79" s="276"/>
      <c r="W79" s="456" t="str">
        <f>AB36</f>
        <v>Yes</v>
      </c>
      <c r="X79" s="456"/>
      <c r="Y79" s="389"/>
      <c r="Z79" s="389"/>
      <c r="AA79" s="276"/>
      <c r="AB79" s="456" t="str">
        <f>AE36</f>
        <v>No</v>
      </c>
      <c r="AC79" s="456"/>
      <c r="AD79" s="456" t="str">
        <f>VLOOKUP("ifnoexplanationrequred",Translations!$A:$T,MATCH(AO7,Translations!A1:P1,0),0)</f>
        <v>(If "No" - Explanation Required)</v>
      </c>
      <c r="AE79" s="456"/>
      <c r="AF79" s="456"/>
      <c r="AG79" s="456"/>
      <c r="AH79" s="456"/>
      <c r="AI79" s="456"/>
      <c r="AJ79" s="456"/>
      <c r="AK79" s="419"/>
      <c r="AL79" s="32"/>
    </row>
    <row r="80" spans="2:38" ht="3" customHeight="1">
      <c r="B80" s="198"/>
      <c r="C80" s="389"/>
      <c r="D80" s="389"/>
      <c r="E80" s="389"/>
      <c r="F80" s="389"/>
      <c r="G80" s="389"/>
      <c r="H80" s="389"/>
      <c r="I80" s="389"/>
      <c r="J80" s="389"/>
      <c r="K80" s="389"/>
      <c r="L80" s="389"/>
      <c r="M80" s="389"/>
      <c r="N80" s="389"/>
      <c r="O80" s="389"/>
      <c r="P80" s="389"/>
      <c r="Q80" s="389"/>
      <c r="R80" s="389"/>
      <c r="S80" s="389"/>
      <c r="T80" s="2"/>
      <c r="U80" s="2"/>
      <c r="V80" s="2"/>
      <c r="W80" s="2"/>
      <c r="X80" s="2"/>
      <c r="Y80" s="2"/>
      <c r="Z80" s="2"/>
      <c r="AA80" s="2"/>
      <c r="AB80" s="2"/>
      <c r="AC80" s="383"/>
      <c r="AD80" s="383"/>
      <c r="AE80" s="383"/>
      <c r="AF80" s="383"/>
      <c r="AG80" s="383"/>
      <c r="AH80" s="383"/>
      <c r="AI80" s="383"/>
      <c r="AJ80" s="383"/>
      <c r="AK80" s="419"/>
      <c r="AL80" s="32"/>
    </row>
    <row r="81" spans="2:46" ht="3" customHeight="1">
      <c r="B81" s="198"/>
      <c r="C81" s="389"/>
      <c r="D81" s="389"/>
      <c r="E81" s="389"/>
      <c r="F81" s="389"/>
      <c r="G81" s="389"/>
      <c r="H81" s="389"/>
      <c r="I81" s="389"/>
      <c r="J81" s="389"/>
      <c r="K81" s="389"/>
      <c r="L81" s="389"/>
      <c r="M81" s="389"/>
      <c r="N81" s="389"/>
      <c r="O81" s="389"/>
      <c r="P81" s="389"/>
      <c r="Q81" s="389"/>
      <c r="R81" s="389"/>
      <c r="S81" s="389"/>
      <c r="T81" s="2"/>
      <c r="U81" s="2"/>
      <c r="V81" s="2"/>
      <c r="W81" s="2"/>
      <c r="X81" s="2"/>
      <c r="Y81" s="2"/>
      <c r="Z81" s="2"/>
      <c r="AA81" s="2"/>
      <c r="AB81" s="2"/>
      <c r="AC81" s="383"/>
      <c r="AD81" s="383"/>
      <c r="AE81" s="383"/>
      <c r="AF81" s="383"/>
      <c r="AG81" s="383"/>
      <c r="AH81" s="383"/>
      <c r="AI81" s="383"/>
      <c r="AJ81" s="383"/>
      <c r="AK81" s="419"/>
      <c r="AL81" s="32"/>
    </row>
    <row r="82" spans="2:46" ht="13.5" customHeight="1">
      <c r="B82" s="198"/>
      <c r="C82" s="456" t="str">
        <f>VLOOKUP("moldcavityproductionprocess",Translations!$A:$T,MATCH(AO7,Translations!A1:P1,0),0)</f>
        <v>Mold / Cavity / Production Process(es)</v>
      </c>
      <c r="D82" s="456"/>
      <c r="E82" s="456"/>
      <c r="F82" s="456"/>
      <c r="G82" s="456"/>
      <c r="H82" s="456"/>
      <c r="I82" s="456"/>
      <c r="J82" s="456"/>
      <c r="K82" s="456"/>
      <c r="L82" s="456"/>
      <c r="M82" s="456"/>
      <c r="N82" s="383"/>
      <c r="O82" s="469" t="s">
        <v>365</v>
      </c>
      <c r="P82" s="469"/>
      <c r="Q82" s="469"/>
      <c r="R82" s="469"/>
      <c r="S82" s="469"/>
      <c r="T82" s="469"/>
      <c r="U82" s="469"/>
      <c r="V82" s="469"/>
      <c r="W82" s="469"/>
      <c r="X82" s="469"/>
      <c r="Y82" s="469"/>
      <c r="Z82" s="469"/>
      <c r="AA82" s="469"/>
      <c r="AB82" s="469"/>
      <c r="AC82" s="469"/>
      <c r="AD82" s="469"/>
      <c r="AE82" s="469"/>
      <c r="AF82" s="469"/>
      <c r="AG82" s="469"/>
      <c r="AH82" s="469"/>
      <c r="AI82" s="469"/>
      <c r="AJ82" s="469"/>
      <c r="AK82" s="419"/>
      <c r="AL82" s="32"/>
    </row>
    <row r="83" spans="2:46" ht="3" customHeight="1">
      <c r="B83" s="198"/>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419"/>
      <c r="AL83" s="32"/>
    </row>
    <row r="84" spans="2:46">
      <c r="B84" s="198"/>
      <c r="C84" s="117" t="str">
        <f>VLOOKUP("declaration",Translations!$A:$T,MATCH(AO7,Translations!A1:P1,0),0)</f>
        <v>DECLARATION</v>
      </c>
      <c r="D84" s="389"/>
      <c r="E84" s="389"/>
      <c r="F84" s="389"/>
      <c r="G84" s="389"/>
      <c r="H84" s="389"/>
      <c r="I84" s="389"/>
      <c r="J84" s="389"/>
      <c r="K84" s="26"/>
      <c r="L84" s="26"/>
      <c r="M84" s="26"/>
      <c r="N84" s="26"/>
      <c r="O84" s="26"/>
      <c r="P84" s="26"/>
      <c r="Q84" s="26"/>
      <c r="R84" s="26"/>
      <c r="S84" s="26"/>
      <c r="T84" s="26"/>
      <c r="U84" s="26"/>
      <c r="V84" s="26"/>
      <c r="W84" s="26"/>
      <c r="X84" s="26"/>
      <c r="Y84" s="26"/>
      <c r="Z84" s="26"/>
      <c r="AA84" s="26"/>
      <c r="AB84" s="389"/>
      <c r="AC84" s="389"/>
      <c r="AD84" s="389"/>
      <c r="AE84" s="389"/>
      <c r="AF84" s="389"/>
      <c r="AG84" s="389"/>
      <c r="AH84" s="389"/>
      <c r="AI84" s="389"/>
      <c r="AJ84" s="389"/>
      <c r="AK84" s="419"/>
      <c r="AL84" s="32"/>
    </row>
    <row r="85" spans="2:46" ht="21" customHeight="1">
      <c r="B85" s="198"/>
      <c r="C85" s="492" t="str">
        <f>VLOOKUP("i affirm thesamples",Translations!$A:$T,MATCH(AO7,Translations!A1:P1,0),0)</f>
        <v>We affirm that the samples represented by this warrant are representative of our parts which were made by a process which meets all Production Part Approval Process manual 4th Edition requirements. We further affirm that these samples were produced at the production rate of</v>
      </c>
      <c r="D85" s="492"/>
      <c r="E85" s="492"/>
      <c r="F85" s="492"/>
      <c r="G85" s="492"/>
      <c r="H85" s="492"/>
      <c r="I85" s="492"/>
      <c r="J85" s="492"/>
      <c r="K85" s="492"/>
      <c r="L85" s="492"/>
      <c r="M85" s="492"/>
      <c r="N85" s="492"/>
      <c r="O85" s="492"/>
      <c r="P85" s="492"/>
      <c r="Q85" s="492"/>
      <c r="R85" s="492"/>
      <c r="S85" s="492"/>
      <c r="T85" s="492"/>
      <c r="U85" s="492"/>
      <c r="V85" s="492"/>
      <c r="W85" s="492"/>
      <c r="X85" s="492"/>
      <c r="Y85" s="492"/>
      <c r="Z85" s="492"/>
      <c r="AA85" s="492"/>
      <c r="AB85" s="492"/>
      <c r="AC85" s="492"/>
      <c r="AD85" s="492"/>
      <c r="AE85" s="492"/>
      <c r="AF85" s="492"/>
      <c r="AG85" s="492"/>
      <c r="AH85" s="492"/>
      <c r="AI85" s="492"/>
      <c r="AJ85" s="492"/>
      <c r="AK85" s="493"/>
      <c r="AL85" s="32"/>
    </row>
    <row r="86" spans="2:46" ht="12.75" customHeight="1">
      <c r="B86" s="198"/>
      <c r="C86" s="492"/>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2"/>
      <c r="AJ86" s="492"/>
      <c r="AK86" s="493"/>
      <c r="AL86" s="32"/>
    </row>
    <row r="87" spans="2:46">
      <c r="B87" s="198"/>
      <c r="C87" s="118"/>
      <c r="D87" s="465" t="s">
        <v>365</v>
      </c>
      <c r="E87" s="465"/>
      <c r="F87" s="465"/>
      <c r="G87" s="28" t="s">
        <v>274</v>
      </c>
      <c r="H87" s="465" t="s">
        <v>365</v>
      </c>
      <c r="I87" s="465"/>
      <c r="J87" s="465"/>
      <c r="K87" s="468" t="str">
        <f>VLOOKUP("hours",Translations!$A:$T,MATCH(AO7,Translations!A1:P1,0),0)</f>
        <v>hours using</v>
      </c>
      <c r="L87" s="468"/>
      <c r="M87" s="468"/>
      <c r="N87" s="468"/>
      <c r="O87" s="468"/>
      <c r="P87" s="468"/>
      <c r="Q87" s="468"/>
      <c r="R87" s="468"/>
      <c r="S87" s="468"/>
      <c r="T87" s="465" t="s">
        <v>365</v>
      </c>
      <c r="U87" s="465"/>
      <c r="V87" s="465"/>
      <c r="W87" s="481" t="str">
        <f>VLOOKUP("production streams",Translations!$A:$T,MATCH(AO7,Translations!A1:P1,0),0)</f>
        <v>production streams. We also certify that documented evidence</v>
      </c>
      <c r="X87" s="481"/>
      <c r="Y87" s="481"/>
      <c r="Z87" s="481"/>
      <c r="AA87" s="481"/>
      <c r="AB87" s="481"/>
      <c r="AC87" s="481"/>
      <c r="AD87" s="481"/>
      <c r="AE87" s="481"/>
      <c r="AF87" s="481"/>
      <c r="AG87" s="481"/>
      <c r="AH87" s="481"/>
      <c r="AI87" s="481"/>
      <c r="AJ87" s="481"/>
      <c r="AK87" s="482"/>
      <c r="AL87" s="32"/>
    </row>
    <row r="88" spans="2:46">
      <c r="B88" s="198"/>
      <c r="C88" s="456" t="str">
        <f>VLOOKUP("yyyyyyyyyy",Translations!$A:$T,MATCH(AO7,Translations!A1:P1,0),0)</f>
        <v>of such compliance is on file and is available for review. Any exceptions from this declaration are noted below.</v>
      </c>
      <c r="D88" s="456"/>
      <c r="E88" s="456"/>
      <c r="F88" s="456"/>
      <c r="G88" s="456"/>
      <c r="H88" s="456"/>
      <c r="I88" s="456"/>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8"/>
      <c r="AL88" s="32"/>
    </row>
    <row r="89" spans="2:46" ht="3" customHeight="1">
      <c r="B89" s="198"/>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423"/>
      <c r="AL89" s="32"/>
    </row>
    <row r="90" spans="2:46" ht="42.75" customHeight="1">
      <c r="B90" s="475" t="str">
        <f>VLOOKUP("tool ownership",Translations!$A:$T,MATCH(AO7,Translations!A1:P1,0),0)</f>
        <v>In case MANN+HUMMEL becomes legal owner/proprietor of the tooling(s)/fixture(s): With acceptance of this PPAP report MANN+HUMMEL shall become the legal owner/proprietor of the tooling(s), fixture(s) and corresponding CAD-Data which are mentioned in the Purchasing Order (PO), the supplier shall be the factual possessor.</v>
      </c>
      <c r="C90" s="476"/>
      <c r="D90" s="476"/>
      <c r="E90" s="476"/>
      <c r="F90" s="476"/>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7"/>
      <c r="AL90" s="32"/>
    </row>
    <row r="91" spans="2:46" ht="3" customHeight="1">
      <c r="B91" s="198"/>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423"/>
      <c r="AL91" s="32"/>
    </row>
    <row r="92" spans="2:46">
      <c r="B92" s="198"/>
      <c r="C92" s="461" t="str">
        <f>VLOOKUP("explanationcomments",Translations!$A:$T,MATCH(AO7,Translations!A1:P1,0),0)</f>
        <v>EXPLANATION / COMMENTS</v>
      </c>
      <c r="D92" s="461"/>
      <c r="E92" s="461"/>
      <c r="F92" s="461"/>
      <c r="G92" s="461"/>
      <c r="H92" s="461"/>
      <c r="I92" s="461"/>
      <c r="J92" s="385"/>
      <c r="K92" s="466"/>
      <c r="L92" s="466"/>
      <c r="M92" s="466"/>
      <c r="N92" s="466"/>
      <c r="O92" s="466"/>
      <c r="P92" s="466"/>
      <c r="Q92" s="466"/>
      <c r="R92" s="466"/>
      <c r="S92" s="466"/>
      <c r="T92" s="466"/>
      <c r="U92" s="466"/>
      <c r="V92" s="466"/>
      <c r="W92" s="466"/>
      <c r="X92" s="466"/>
      <c r="Y92" s="466"/>
      <c r="Z92" s="466"/>
      <c r="AA92" s="466"/>
      <c r="AB92" s="466"/>
      <c r="AC92" s="466"/>
      <c r="AD92" s="466"/>
      <c r="AE92" s="466"/>
      <c r="AF92" s="466"/>
      <c r="AG92" s="466"/>
      <c r="AH92" s="466"/>
      <c r="AI92" s="466"/>
      <c r="AJ92" s="466"/>
      <c r="AK92" s="424"/>
      <c r="AL92" s="32"/>
    </row>
    <row r="93" spans="2:46">
      <c r="B93" s="198"/>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24"/>
      <c r="AL93" s="32"/>
    </row>
    <row r="94" spans="2:46" s="32" customFormat="1" ht="4.5" customHeight="1">
      <c r="B94" s="425"/>
      <c r="C94" s="31"/>
      <c r="D94" s="31"/>
      <c r="E94" s="31"/>
      <c r="F94" s="31"/>
      <c r="G94" s="31"/>
      <c r="H94" s="31"/>
      <c r="I94" s="31"/>
      <c r="J94" s="31"/>
      <c r="K94" s="31"/>
      <c r="L94" s="31"/>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426"/>
      <c r="AM94" s="5"/>
      <c r="AN94" s="6"/>
      <c r="AO94" s="6"/>
      <c r="AP94" s="6"/>
      <c r="AQ94" s="6"/>
      <c r="AR94" s="6"/>
      <c r="AS94" s="6"/>
      <c r="AT94" s="6"/>
    </row>
    <row r="95" spans="2:46">
      <c r="B95" s="198"/>
      <c r="C95" s="474" t="str">
        <f>VLOOKUP("organizaauthorizedsignatture",Translations!$A:$T,MATCH(AO7,Translations!A1:P1,0),0)</f>
        <v>Organization Authorized Signature</v>
      </c>
      <c r="D95" s="474"/>
      <c r="E95" s="474"/>
      <c r="F95" s="474"/>
      <c r="G95" s="474"/>
      <c r="H95" s="474"/>
      <c r="I95" s="474"/>
      <c r="J95" s="474"/>
      <c r="K95" s="474"/>
      <c r="L95" s="390"/>
      <c r="M95" s="465"/>
      <c r="N95" s="465"/>
      <c r="O95" s="465"/>
      <c r="P95" s="465"/>
      <c r="Q95" s="465"/>
      <c r="R95" s="465"/>
      <c r="S95" s="465"/>
      <c r="T95" s="465"/>
      <c r="U95" s="465"/>
      <c r="V95" s="465"/>
      <c r="W95" s="465"/>
      <c r="X95" s="465"/>
      <c r="Y95" s="465"/>
      <c r="Z95" s="465"/>
      <c r="AA95" s="26"/>
      <c r="AB95" s="26"/>
      <c r="AC95" s="26"/>
      <c r="AD95" s="455" t="str">
        <f>VLOOKUP("date",Translations!$A:$T,MATCH(AO7,Translations!A1:P1,0),0)</f>
        <v>Date</v>
      </c>
      <c r="AE95" s="455"/>
      <c r="AF95" s="480"/>
      <c r="AG95" s="480"/>
      <c r="AH95" s="480"/>
      <c r="AI95" s="480"/>
      <c r="AJ95" s="480"/>
      <c r="AK95" s="424"/>
      <c r="AL95" s="32"/>
    </row>
    <row r="96" spans="2:46">
      <c r="B96" s="198"/>
      <c r="C96" s="474"/>
      <c r="D96" s="474"/>
      <c r="E96" s="474"/>
      <c r="F96" s="474"/>
      <c r="G96" s="474"/>
      <c r="H96" s="474"/>
      <c r="I96" s="474"/>
      <c r="J96" s="474"/>
      <c r="K96" s="474"/>
      <c r="L96" s="390"/>
      <c r="M96" s="465"/>
      <c r="N96" s="465"/>
      <c r="O96" s="465"/>
      <c r="P96" s="465"/>
      <c r="Q96" s="465"/>
      <c r="R96" s="465"/>
      <c r="S96" s="465"/>
      <c r="T96" s="465"/>
      <c r="U96" s="465"/>
      <c r="V96" s="465"/>
      <c r="W96" s="465"/>
      <c r="X96" s="465"/>
      <c r="Y96" s="465"/>
      <c r="Z96" s="465"/>
      <c r="AA96" s="26"/>
      <c r="AB96" s="26"/>
      <c r="AC96" s="26"/>
      <c r="AD96" s="386"/>
      <c r="AE96" s="386"/>
      <c r="AF96" s="30"/>
      <c r="AG96" s="30"/>
      <c r="AH96" s="30"/>
      <c r="AI96" s="30"/>
      <c r="AJ96" s="30"/>
      <c r="AK96" s="424"/>
      <c r="AL96" s="32"/>
    </row>
    <row r="97" spans="2:46" ht="3" customHeight="1">
      <c r="B97" s="198"/>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389"/>
      <c r="AF97" s="389"/>
      <c r="AG97" s="389"/>
      <c r="AH97" s="389"/>
      <c r="AI97" s="26"/>
      <c r="AJ97" s="26"/>
      <c r="AK97" s="424"/>
      <c r="AL97" s="32"/>
      <c r="AN97" s="5"/>
      <c r="AO97" s="5"/>
      <c r="AP97" s="5"/>
      <c r="AQ97" s="5"/>
      <c r="AR97" s="5"/>
      <c r="AS97" s="5"/>
      <c r="AT97" s="5"/>
    </row>
    <row r="98" spans="2:46">
      <c r="B98" s="198"/>
      <c r="C98" s="455" t="str">
        <f>VLOOKUP("printname",Translations!$A:$T,MATCH(AO7,Translations!A1:P1,0),0)</f>
        <v>Print Name</v>
      </c>
      <c r="D98" s="455"/>
      <c r="E98" s="455"/>
      <c r="F98" s="455"/>
      <c r="G98" s="455"/>
      <c r="H98" s="466"/>
      <c r="I98" s="466"/>
      <c r="J98" s="466"/>
      <c r="K98" s="466"/>
      <c r="L98" s="466"/>
      <c r="M98" s="466"/>
      <c r="N98" s="466"/>
      <c r="O98" s="466"/>
      <c r="P98" s="466"/>
      <c r="Q98" s="466"/>
      <c r="R98" s="466"/>
      <c r="S98" s="455" t="str">
        <f>VLOOKUP("phone",Translations!$A:$T,MATCH(AO7,Translations!A1:P1,0),0)</f>
        <v>Phone No.</v>
      </c>
      <c r="T98" s="455"/>
      <c r="U98" s="455"/>
      <c r="V98" s="455"/>
      <c r="W98" s="465"/>
      <c r="X98" s="465"/>
      <c r="Y98" s="465"/>
      <c r="Z98" s="465"/>
      <c r="AA98" s="465"/>
      <c r="AB98" s="465"/>
      <c r="AC98" s="465"/>
      <c r="AD98" s="455" t="s">
        <v>846</v>
      </c>
      <c r="AE98" s="455"/>
      <c r="AF98" s="488"/>
      <c r="AG98" s="488"/>
      <c r="AH98" s="465"/>
      <c r="AI98" s="465"/>
      <c r="AJ98" s="465"/>
      <c r="AK98" s="424"/>
      <c r="AL98" s="32"/>
      <c r="AN98" s="5"/>
      <c r="AO98" s="5"/>
      <c r="AP98" s="5"/>
      <c r="AQ98" s="5"/>
      <c r="AR98" s="5"/>
      <c r="AS98" s="5"/>
      <c r="AT98" s="5"/>
    </row>
    <row r="99" spans="2:46">
      <c r="B99" s="198"/>
      <c r="C99" s="455" t="str">
        <f>VLOOKUP("title",Translations!$A:$T,MATCH(AO7,Translations!A1:P1,0),0)</f>
        <v>Title</v>
      </c>
      <c r="D99" s="455"/>
      <c r="E99" s="455"/>
      <c r="F99" s="455"/>
      <c r="G99" s="455"/>
      <c r="H99" s="473"/>
      <c r="I99" s="473"/>
      <c r="J99" s="473"/>
      <c r="K99" s="473"/>
      <c r="L99" s="473"/>
      <c r="M99" s="473"/>
      <c r="N99" s="473"/>
      <c r="O99" s="473"/>
      <c r="P99" s="473"/>
      <c r="Q99" s="473"/>
      <c r="R99" s="473"/>
      <c r="S99" s="455" t="str">
        <f>VLOOKUP("email",Translations!$A:$T,MATCH(AO7,Translations!A1:P1,0),0)</f>
        <v>E-Mail</v>
      </c>
      <c r="T99" s="455"/>
      <c r="U99" s="455"/>
      <c r="V99" s="455"/>
      <c r="W99" s="465"/>
      <c r="X99" s="465"/>
      <c r="Y99" s="465"/>
      <c r="Z99" s="465"/>
      <c r="AA99" s="465"/>
      <c r="AB99" s="465"/>
      <c r="AC99" s="465"/>
      <c r="AD99" s="465"/>
      <c r="AE99" s="465"/>
      <c r="AF99" s="465"/>
      <c r="AG99" s="465"/>
      <c r="AH99" s="465"/>
      <c r="AI99" s="465"/>
      <c r="AJ99" s="465"/>
      <c r="AK99" s="424"/>
      <c r="AL99" s="32"/>
      <c r="AN99" s="5"/>
      <c r="AO99" s="5"/>
      <c r="AP99" s="5"/>
      <c r="AQ99" s="5"/>
      <c r="AR99" s="5"/>
      <c r="AS99" s="5"/>
      <c r="AT99" s="5"/>
    </row>
    <row r="100" spans="2:46" s="32" customFormat="1" ht="3" customHeight="1">
      <c r="B100" s="425"/>
      <c r="C100" s="81"/>
      <c r="D100" s="81"/>
      <c r="E100" s="79"/>
      <c r="F100" s="79"/>
      <c r="G100" s="79"/>
      <c r="H100" s="82"/>
      <c r="I100" s="82"/>
      <c r="J100" s="82"/>
      <c r="K100" s="82"/>
      <c r="L100" s="82"/>
      <c r="M100" s="82"/>
      <c r="N100" s="82"/>
      <c r="O100" s="82"/>
      <c r="P100" s="82"/>
      <c r="Q100" s="82"/>
      <c r="R100" s="81"/>
      <c r="S100" s="81"/>
      <c r="T100" s="81"/>
      <c r="U100" s="81"/>
      <c r="V100" s="79"/>
      <c r="W100" s="82"/>
      <c r="X100" s="82"/>
      <c r="Y100" s="82"/>
      <c r="Z100" s="82"/>
      <c r="AA100" s="82"/>
      <c r="AB100" s="82"/>
      <c r="AC100" s="82"/>
      <c r="AD100" s="82"/>
      <c r="AE100" s="82"/>
      <c r="AF100" s="82"/>
      <c r="AG100" s="82"/>
      <c r="AH100" s="82"/>
      <c r="AI100" s="82"/>
      <c r="AJ100" s="79"/>
      <c r="AK100" s="426"/>
      <c r="AM100" s="5"/>
      <c r="AN100" s="5"/>
      <c r="AO100" s="5"/>
      <c r="AP100" s="5"/>
      <c r="AQ100" s="5"/>
      <c r="AR100" s="5"/>
      <c r="AS100" s="5"/>
      <c r="AT100" s="5"/>
    </row>
    <row r="101" spans="2:46" s="32" customFormat="1" ht="3" customHeight="1">
      <c r="B101" s="425"/>
      <c r="C101" s="81"/>
      <c r="D101" s="81"/>
      <c r="E101" s="79"/>
      <c r="F101" s="79"/>
      <c r="G101" s="79"/>
      <c r="H101" s="79"/>
      <c r="I101" s="79"/>
      <c r="J101" s="79"/>
      <c r="K101" s="79"/>
      <c r="L101" s="79"/>
      <c r="M101" s="79"/>
      <c r="N101" s="79"/>
      <c r="O101" s="79"/>
      <c r="P101" s="79"/>
      <c r="Q101" s="79"/>
      <c r="R101" s="81"/>
      <c r="S101" s="81"/>
      <c r="T101" s="81"/>
      <c r="U101" s="81"/>
      <c r="V101" s="79"/>
      <c r="W101" s="79"/>
      <c r="X101" s="79"/>
      <c r="Y101" s="79"/>
      <c r="Z101" s="79"/>
      <c r="AA101" s="79"/>
      <c r="AB101" s="79"/>
      <c r="AC101" s="79"/>
      <c r="AD101" s="79"/>
      <c r="AE101" s="79"/>
      <c r="AF101" s="79"/>
      <c r="AG101" s="79"/>
      <c r="AH101" s="79"/>
      <c r="AI101" s="79"/>
      <c r="AJ101" s="79"/>
      <c r="AK101" s="426"/>
      <c r="AM101" s="5"/>
      <c r="AN101" s="5"/>
      <c r="AO101" s="5"/>
      <c r="AP101" s="5"/>
      <c r="AQ101" s="5"/>
      <c r="AR101" s="5"/>
      <c r="AS101" s="5"/>
      <c r="AT101" s="5"/>
    </row>
    <row r="102" spans="2:46">
      <c r="B102" s="198"/>
      <c r="C102" s="456" t="str">
        <f>VLOOKUP("iseachcustomertool",Translations!$A:$T,MATCH(AO7,Translations!A1:P1,0),0)</f>
        <v>Is each Customer Tool properly tagged and numbered?</v>
      </c>
      <c r="D102" s="456"/>
      <c r="E102" s="456"/>
      <c r="F102" s="456"/>
      <c r="G102" s="456"/>
      <c r="H102" s="456"/>
      <c r="I102" s="456"/>
      <c r="J102" s="456"/>
      <c r="K102" s="456"/>
      <c r="L102" s="456"/>
      <c r="M102" s="456"/>
      <c r="N102" s="456"/>
      <c r="O102" s="456"/>
      <c r="P102" s="456"/>
      <c r="Q102" s="456"/>
      <c r="R102" s="456"/>
      <c r="S102" s="456"/>
      <c r="T102" s="456"/>
      <c r="U102" s="389"/>
      <c r="V102" s="275"/>
      <c r="W102" s="456" t="str">
        <f>AB36</f>
        <v>Yes</v>
      </c>
      <c r="X102" s="456"/>
      <c r="Y102" s="456"/>
      <c r="Z102" s="389"/>
      <c r="AA102" s="275"/>
      <c r="AB102" s="456" t="str">
        <f>AE36</f>
        <v>No</v>
      </c>
      <c r="AC102" s="456"/>
      <c r="AD102" s="275"/>
      <c r="AE102" s="456" t="str">
        <f>AI36</f>
        <v>n/a</v>
      </c>
      <c r="AF102" s="456"/>
      <c r="AG102" s="383"/>
      <c r="AH102" s="389"/>
      <c r="AI102" s="26"/>
      <c r="AJ102" s="26"/>
      <c r="AK102" s="424"/>
      <c r="AL102" s="32"/>
      <c r="AN102" s="5"/>
      <c r="AO102" s="5"/>
      <c r="AP102" s="5"/>
      <c r="AQ102" s="5"/>
      <c r="AR102" s="5"/>
      <c r="AS102" s="5"/>
      <c r="AT102" s="5"/>
    </row>
    <row r="103" spans="2:46" ht="3" customHeight="1">
      <c r="B103" s="427"/>
      <c r="C103" s="29"/>
      <c r="D103" s="389"/>
      <c r="E103" s="389"/>
      <c r="F103" s="389"/>
      <c r="G103" s="389"/>
      <c r="H103" s="389"/>
      <c r="I103" s="389"/>
      <c r="J103" s="389"/>
      <c r="K103" s="389"/>
      <c r="L103" s="389"/>
      <c r="M103" s="389"/>
      <c r="N103" s="389"/>
      <c r="O103" s="389"/>
      <c r="P103" s="389"/>
      <c r="Q103" s="389"/>
      <c r="R103" s="389"/>
      <c r="S103" s="389"/>
      <c r="T103" s="389"/>
      <c r="U103" s="389"/>
      <c r="V103" s="119"/>
      <c r="W103" s="383"/>
      <c r="X103" s="383"/>
      <c r="Y103" s="383"/>
      <c r="Z103" s="389"/>
      <c r="AA103" s="119"/>
      <c r="AB103" s="383"/>
      <c r="AC103" s="383"/>
      <c r="AD103" s="117"/>
      <c r="AE103" s="383"/>
      <c r="AF103" s="383"/>
      <c r="AG103" s="383"/>
      <c r="AH103" s="389"/>
      <c r="AI103" s="26"/>
      <c r="AJ103" s="26"/>
      <c r="AK103" s="428"/>
      <c r="AL103" s="32"/>
      <c r="AN103" s="5"/>
      <c r="AO103" s="5"/>
      <c r="AP103" s="5"/>
      <c r="AQ103" s="5"/>
      <c r="AR103" s="5"/>
      <c r="AS103" s="5"/>
      <c r="AT103" s="5"/>
    </row>
    <row r="104" spans="2:46">
      <c r="B104" s="478" t="str">
        <f>VLOOKUP("forcustomeruseonly",Translations!$A:$T,MATCH(AO7,Translations!A1:P1,0),0)</f>
        <v>FOR CUSTOMER USE ONLY (IF APPLICABLE)</v>
      </c>
      <c r="C104" s="464"/>
      <c r="D104" s="464"/>
      <c r="E104" s="464"/>
      <c r="F104" s="464"/>
      <c r="G104" s="464"/>
      <c r="H104" s="464"/>
      <c r="I104" s="464"/>
      <c r="J104" s="464"/>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c r="AK104" s="479"/>
      <c r="AL104" s="32"/>
      <c r="AN104" s="5"/>
      <c r="AO104" s="5"/>
      <c r="AP104" s="5"/>
      <c r="AQ104" s="5"/>
      <c r="AR104" s="5"/>
      <c r="AS104" s="5"/>
      <c r="AT104" s="5"/>
    </row>
    <row r="105" spans="2:46" ht="3" customHeight="1">
      <c r="B105" s="19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429"/>
      <c r="AL105" s="32"/>
      <c r="AN105" s="5"/>
      <c r="AO105" s="5"/>
      <c r="AP105" s="5"/>
      <c r="AQ105" s="5"/>
      <c r="AR105" s="5"/>
      <c r="AS105" s="5"/>
      <c r="AT105" s="5"/>
    </row>
    <row r="106" spans="2:46">
      <c r="B106" s="198"/>
      <c r="C106" s="456" t="str">
        <f>VLOOKUP("ppapwarrant dispo",Translations!$A:$T,MATCH(AO7,Translations!A1:P1,0),0)</f>
        <v>PPAP Warrant Disposition:</v>
      </c>
      <c r="D106" s="456"/>
      <c r="E106" s="456"/>
      <c r="F106" s="456"/>
      <c r="G106" s="456"/>
      <c r="H106" s="456"/>
      <c r="I106" s="26"/>
      <c r="J106" s="275"/>
      <c r="K106" s="456" t="str">
        <f>VLOOKUP("approved",Translations!$A:$T,MATCH(AO7,Translations!A1:P1,0),0)</f>
        <v>Approved</v>
      </c>
      <c r="L106" s="456"/>
      <c r="M106" s="456"/>
      <c r="N106" s="383"/>
      <c r="O106" s="389"/>
      <c r="P106" s="275"/>
      <c r="Q106" s="456" t="str">
        <f>VLOOKUP("rejected",Translations!$A:$T,MATCH(AO7,Translations!A1:P1,0),0)</f>
        <v>Rejected</v>
      </c>
      <c r="R106" s="456"/>
      <c r="S106" s="456"/>
      <c r="T106" s="26"/>
      <c r="U106" s="275"/>
      <c r="V106" s="471" t="str">
        <f>VLOOKUP("other",Translations!$A:$T,MATCH(AO7,Translations!A1:P1,0),0)</f>
        <v>Other</v>
      </c>
      <c r="W106" s="471"/>
      <c r="X106" s="471"/>
      <c r="Y106" s="471"/>
      <c r="Z106" s="465"/>
      <c r="AA106" s="465"/>
      <c r="AB106" s="465"/>
      <c r="AC106" s="465"/>
      <c r="AD106" s="465"/>
      <c r="AE106" s="465"/>
      <c r="AF106" s="465"/>
      <c r="AG106" s="465"/>
      <c r="AH106" s="465"/>
      <c r="AI106" s="465"/>
      <c r="AJ106" s="465"/>
      <c r="AK106" s="424"/>
      <c r="AL106" s="32"/>
      <c r="AM106" s="11"/>
      <c r="AN106" s="11"/>
      <c r="AO106" s="5"/>
      <c r="AP106" s="5"/>
      <c r="AQ106" s="5"/>
      <c r="AR106" s="5"/>
      <c r="AS106" s="5"/>
      <c r="AT106" s="5"/>
    </row>
    <row r="107" spans="2:46" ht="3" customHeight="1">
      <c r="B107" s="198"/>
      <c r="C107" s="383"/>
      <c r="D107" s="383"/>
      <c r="E107" s="383"/>
      <c r="F107" s="383"/>
      <c r="G107" s="383"/>
      <c r="H107" s="383"/>
      <c r="I107" s="26"/>
      <c r="J107" s="26"/>
      <c r="K107" s="383"/>
      <c r="L107" s="383"/>
      <c r="M107" s="383"/>
      <c r="N107" s="383"/>
      <c r="O107" s="389"/>
      <c r="P107" s="389"/>
      <c r="Q107" s="383"/>
      <c r="R107" s="383"/>
      <c r="S107" s="383"/>
      <c r="T107" s="26"/>
      <c r="U107" s="26"/>
      <c r="V107" s="387"/>
      <c r="W107" s="387"/>
      <c r="X107" s="387"/>
      <c r="Y107" s="387"/>
      <c r="Z107" s="2"/>
      <c r="AA107" s="2"/>
      <c r="AB107" s="2"/>
      <c r="AC107" s="2"/>
      <c r="AD107" s="2"/>
      <c r="AE107" s="2"/>
      <c r="AF107" s="2"/>
      <c r="AG107" s="2"/>
      <c r="AH107" s="2"/>
      <c r="AI107" s="2"/>
      <c r="AJ107" s="2"/>
      <c r="AK107" s="424"/>
      <c r="AL107" s="32"/>
      <c r="AM107" s="11"/>
      <c r="AN107" s="11"/>
      <c r="AO107" s="5"/>
      <c r="AP107" s="5"/>
      <c r="AQ107" s="5"/>
      <c r="AR107" s="5"/>
      <c r="AS107" s="5"/>
      <c r="AT107" s="5"/>
    </row>
    <row r="108" spans="2:46" ht="3" customHeight="1">
      <c r="B108" s="198"/>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89"/>
      <c r="AE108" s="389"/>
      <c r="AF108" s="389"/>
      <c r="AG108" s="389"/>
      <c r="AH108" s="389"/>
      <c r="AI108" s="26"/>
      <c r="AJ108" s="26"/>
      <c r="AK108" s="424"/>
      <c r="AL108" s="32"/>
    </row>
    <row r="109" spans="2:46" ht="12.75" customHeight="1">
      <c r="B109" s="198"/>
      <c r="C109" s="456" t="str">
        <f>VLOOKUP("customersignature",Translations!$A:$T,MATCH(AO7,Translations!A1:P1,0),0)</f>
        <v>Customer Signature</v>
      </c>
      <c r="D109" s="456"/>
      <c r="E109" s="456"/>
      <c r="F109" s="456"/>
      <c r="G109" s="456"/>
      <c r="H109" s="483"/>
      <c r="I109" s="483"/>
      <c r="J109" s="483"/>
      <c r="K109" s="483"/>
      <c r="L109" s="483"/>
      <c r="M109" s="483"/>
      <c r="N109" s="483"/>
      <c r="O109" s="483"/>
      <c r="P109" s="483"/>
      <c r="Q109" s="483"/>
      <c r="R109" s="483"/>
      <c r="S109" s="483"/>
      <c r="T109" s="483"/>
      <c r="U109" s="483"/>
      <c r="V109" s="483"/>
      <c r="W109" s="483"/>
      <c r="X109" s="483"/>
      <c r="Y109" s="483"/>
      <c r="Z109" s="483"/>
      <c r="AA109" s="483"/>
      <c r="AB109" s="483"/>
      <c r="AC109" s="455" t="str">
        <f>AE17</f>
        <v>Dated</v>
      </c>
      <c r="AD109" s="455"/>
      <c r="AE109" s="455"/>
      <c r="AF109" s="465"/>
      <c r="AG109" s="465"/>
      <c r="AH109" s="465"/>
      <c r="AI109" s="465"/>
      <c r="AJ109" s="465"/>
      <c r="AK109" s="424"/>
      <c r="AL109" s="32"/>
    </row>
    <row r="110" spans="2:46" ht="16.5" customHeight="1">
      <c r="B110" s="198"/>
      <c r="C110" s="389"/>
      <c r="D110" s="389"/>
      <c r="E110" s="389"/>
      <c r="F110" s="389"/>
      <c r="G110" s="389"/>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389"/>
      <c r="AD110" s="389"/>
      <c r="AE110" s="389"/>
      <c r="AF110" s="389"/>
      <c r="AG110" s="389"/>
      <c r="AH110" s="389"/>
      <c r="AI110" s="26"/>
      <c r="AJ110" s="26"/>
      <c r="AK110" s="424"/>
      <c r="AL110" s="32"/>
    </row>
    <row r="111" spans="2:46" s="32" customFormat="1" ht="3.75" customHeight="1">
      <c r="B111" s="425"/>
      <c r="C111" s="31"/>
      <c r="D111" s="31"/>
      <c r="E111" s="31"/>
      <c r="F111" s="31"/>
      <c r="G111" s="31"/>
      <c r="H111" s="31"/>
      <c r="I111" s="79"/>
      <c r="J111" s="79"/>
      <c r="K111" s="79"/>
      <c r="L111" s="79"/>
      <c r="M111" s="79"/>
      <c r="N111" s="79"/>
      <c r="O111" s="79"/>
      <c r="P111" s="79"/>
      <c r="Q111" s="79"/>
      <c r="R111" s="79"/>
      <c r="S111" s="79"/>
      <c r="T111" s="79"/>
      <c r="U111" s="79"/>
      <c r="V111" s="79"/>
      <c r="W111" s="79"/>
      <c r="X111" s="79"/>
      <c r="Y111" s="79"/>
      <c r="Z111" s="79"/>
      <c r="AA111" s="79"/>
      <c r="AB111" s="79"/>
      <c r="AC111" s="31"/>
      <c r="AD111" s="31"/>
      <c r="AE111" s="31"/>
      <c r="AF111" s="31"/>
      <c r="AG111" s="31"/>
      <c r="AH111" s="31"/>
      <c r="AI111" s="80"/>
      <c r="AJ111" s="80"/>
      <c r="AK111" s="426"/>
      <c r="AM111" s="5"/>
      <c r="AN111" s="6"/>
      <c r="AO111" s="6"/>
      <c r="AP111" s="6"/>
      <c r="AQ111" s="6"/>
      <c r="AR111" s="6"/>
      <c r="AS111" s="6"/>
      <c r="AT111" s="6"/>
    </row>
    <row r="112" spans="2:46" ht="13.5" customHeight="1">
      <c r="B112" s="198"/>
      <c r="C112" s="456" t="str">
        <f>C98</f>
        <v>Print Name</v>
      </c>
      <c r="D112" s="456"/>
      <c r="E112" s="456"/>
      <c r="F112" s="456"/>
      <c r="G112" s="456"/>
      <c r="H112" s="465"/>
      <c r="I112" s="465"/>
      <c r="J112" s="465"/>
      <c r="K112" s="465"/>
      <c r="L112" s="465"/>
      <c r="M112" s="465"/>
      <c r="N112" s="465"/>
      <c r="O112" s="465"/>
      <c r="P112" s="465"/>
      <c r="Q112" s="455" t="str">
        <f>VLOOKUP("customertrackingnumber",Translations!$A:$T,MATCH(AO7,Translations!A1:P1,0),0)</f>
        <v>Customer Tracking Number (optional)</v>
      </c>
      <c r="R112" s="455"/>
      <c r="S112" s="455"/>
      <c r="T112" s="455"/>
      <c r="U112" s="455"/>
      <c r="V112" s="455"/>
      <c r="W112" s="455"/>
      <c r="X112" s="455"/>
      <c r="Y112" s="455"/>
      <c r="Z112" s="455"/>
      <c r="AA112" s="455"/>
      <c r="AB112" s="455"/>
      <c r="AC112" s="455"/>
      <c r="AD112" s="455"/>
      <c r="AE112" s="465"/>
      <c r="AF112" s="465"/>
      <c r="AG112" s="465"/>
      <c r="AH112" s="465"/>
      <c r="AI112" s="465"/>
      <c r="AJ112" s="465"/>
      <c r="AK112" s="424"/>
      <c r="AL112" s="32"/>
      <c r="AN112" s="5"/>
      <c r="AO112" s="5"/>
      <c r="AP112" s="5"/>
      <c r="AQ112" s="5"/>
      <c r="AR112" s="5"/>
      <c r="AS112" s="5"/>
      <c r="AT112" s="5"/>
    </row>
    <row r="113" spans="2:46" ht="3.75" customHeight="1">
      <c r="B113" s="425"/>
      <c r="C113" s="81"/>
      <c r="D113" s="81"/>
      <c r="E113" s="81"/>
      <c r="F113" s="81"/>
      <c r="G113" s="81"/>
      <c r="H113" s="263"/>
      <c r="I113" s="263"/>
      <c r="J113" s="263"/>
      <c r="K113" s="263"/>
      <c r="L113" s="263"/>
      <c r="M113" s="263"/>
      <c r="N113" s="263"/>
      <c r="O113" s="263"/>
      <c r="P113" s="263"/>
      <c r="Q113" s="264"/>
      <c r="R113" s="264"/>
      <c r="S113" s="264"/>
      <c r="T113" s="264"/>
      <c r="U113" s="264"/>
      <c r="V113" s="264"/>
      <c r="W113" s="264"/>
      <c r="X113" s="264"/>
      <c r="Y113" s="264"/>
      <c r="Z113" s="264"/>
      <c r="AA113" s="264"/>
      <c r="AB113" s="264"/>
      <c r="AC113" s="264"/>
      <c r="AD113" s="264"/>
      <c r="AE113" s="263"/>
      <c r="AF113" s="263"/>
      <c r="AG113" s="263"/>
      <c r="AH113" s="263"/>
      <c r="AI113" s="263"/>
      <c r="AJ113" s="263"/>
      <c r="AK113" s="426"/>
      <c r="AL113" s="32"/>
      <c r="AN113" s="5"/>
      <c r="AO113" s="5"/>
      <c r="AP113" s="5"/>
      <c r="AQ113" s="5"/>
      <c r="AR113" s="5"/>
      <c r="AS113" s="5"/>
      <c r="AT113" s="5"/>
    </row>
    <row r="114" spans="2:46" ht="24.75" customHeight="1">
      <c r="B114" s="198"/>
      <c r="C114" s="456" t="str">
        <f>VLOOKUP("comments",Translations!$A:$T,MATCH(AO7,Translations!A1:P1,0),0)</f>
        <v>Comments</v>
      </c>
      <c r="D114" s="456"/>
      <c r="E114" s="456"/>
      <c r="F114" s="456"/>
      <c r="G114" s="456"/>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66"/>
      <c r="AE114" s="466"/>
      <c r="AF114" s="466"/>
      <c r="AG114" s="466"/>
      <c r="AH114" s="466"/>
      <c r="AI114" s="466"/>
      <c r="AJ114" s="466"/>
      <c r="AK114" s="424"/>
      <c r="AL114" s="32"/>
      <c r="AN114" s="5"/>
      <c r="AO114" s="5"/>
      <c r="AP114" s="5"/>
      <c r="AQ114" s="5"/>
      <c r="AR114" s="5"/>
      <c r="AS114" s="5"/>
      <c r="AT114" s="5"/>
    </row>
    <row r="115" spans="2:46" ht="3" customHeight="1" thickBot="1">
      <c r="B115" s="398"/>
      <c r="C115" s="430"/>
      <c r="D115" s="430"/>
      <c r="E115" s="430"/>
      <c r="F115" s="430"/>
      <c r="G115" s="430"/>
      <c r="H115" s="430"/>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0"/>
      <c r="AJ115" s="430"/>
      <c r="AK115" s="432"/>
      <c r="AL115" s="32"/>
      <c r="AN115" s="5"/>
      <c r="AO115" s="5"/>
      <c r="AP115" s="5"/>
      <c r="AQ115" s="5"/>
      <c r="AR115" s="5"/>
      <c r="AS115" s="5"/>
      <c r="AT115" s="5"/>
    </row>
    <row r="116" spans="2:46">
      <c r="C116" s="1"/>
      <c r="D116" s="1"/>
      <c r="E116" s="1"/>
      <c r="F116" s="1"/>
      <c r="G116" s="1"/>
      <c r="H116" s="1"/>
      <c r="I116" s="1"/>
      <c r="J116" s="1"/>
      <c r="K116" s="1"/>
      <c r="L116" s="1"/>
      <c r="M116" s="1"/>
      <c r="N116" s="1"/>
      <c r="O116" s="1"/>
      <c r="P116" s="1"/>
      <c r="Q116" s="1"/>
      <c r="R116" s="1"/>
      <c r="S116" s="1"/>
      <c r="T116" s="1"/>
      <c r="U116" s="1"/>
      <c r="V116" s="1"/>
      <c r="X116" s="1"/>
      <c r="Y116" s="3"/>
      <c r="Z116" s="3"/>
      <c r="AA116" s="1"/>
      <c r="AB116" s="1"/>
      <c r="AC116" s="1"/>
      <c r="AD116" s="1"/>
      <c r="AE116" s="1"/>
      <c r="AF116" s="1"/>
      <c r="AG116" s="1"/>
      <c r="AH116" s="1"/>
      <c r="AI116" s="2"/>
      <c r="AJ116" s="2"/>
      <c r="AK116" s="2"/>
      <c r="AL116" s="32"/>
      <c r="AN116" s="5"/>
      <c r="AO116" s="5"/>
      <c r="AP116" s="5"/>
      <c r="AQ116" s="5"/>
      <c r="AR116" s="5"/>
      <c r="AS116" s="5"/>
      <c r="AT116" s="5"/>
    </row>
    <row r="117" spans="2:46">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2"/>
      <c r="AJ117" s="2"/>
      <c r="AK117" s="2"/>
      <c r="AL117" s="32"/>
      <c r="AN117" s="5"/>
      <c r="AO117" s="5"/>
      <c r="AP117" s="5"/>
      <c r="AQ117" s="5"/>
      <c r="AR117" s="5"/>
      <c r="AS117" s="5"/>
      <c r="AT117" s="5"/>
    </row>
    <row r="118" spans="2:46">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32"/>
    </row>
    <row r="119" spans="2:46">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32"/>
      <c r="AM119" s="11"/>
      <c r="AN119" s="11"/>
    </row>
    <row r="120" spans="2:46">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32"/>
    </row>
    <row r="121" spans="2:46">
      <c r="AL121" s="32"/>
    </row>
    <row r="122" spans="2:46">
      <c r="AL122" s="32"/>
    </row>
    <row r="123" spans="2:46">
      <c r="AL123" s="32"/>
    </row>
    <row r="124" spans="2:46">
      <c r="AL124" s="32"/>
    </row>
    <row r="125" spans="2:46">
      <c r="AL125" s="32"/>
    </row>
    <row r="126" spans="2:46">
      <c r="AL126" s="32"/>
    </row>
    <row r="127" spans="2:46">
      <c r="AL127" s="32"/>
    </row>
    <row r="128" spans="2:46">
      <c r="AL128" s="32"/>
    </row>
    <row r="129" spans="38:43">
      <c r="AL129" s="32"/>
    </row>
    <row r="130" spans="38:43">
      <c r="AL130" s="32"/>
      <c r="AM130" s="6"/>
    </row>
    <row r="131" spans="38:43">
      <c r="AL131" s="32"/>
      <c r="AM131" s="6"/>
    </row>
    <row r="132" spans="38:43">
      <c r="AL132" s="32"/>
      <c r="AM132" s="6"/>
    </row>
    <row r="133" spans="38:43">
      <c r="AL133" s="32"/>
      <c r="AM133" s="6"/>
    </row>
    <row r="134" spans="38:43">
      <c r="AL134" s="32"/>
      <c r="AM134" s="6"/>
    </row>
    <row r="135" spans="38:43">
      <c r="AL135" s="32"/>
      <c r="AM135" s="17"/>
      <c r="AN135" s="17"/>
      <c r="AO135" s="17"/>
      <c r="AP135" s="17"/>
      <c r="AQ135" s="17"/>
    </row>
    <row r="136" spans="38:43">
      <c r="AL136" s="32"/>
      <c r="AM136" s="17"/>
      <c r="AN136" s="17"/>
      <c r="AO136" s="17"/>
      <c r="AP136" s="17"/>
      <c r="AQ136" s="17"/>
    </row>
    <row r="137" spans="38:43">
      <c r="AL137" s="32"/>
    </row>
    <row r="138" spans="38:43">
      <c r="AL138" s="32"/>
    </row>
    <row r="139" spans="38:43">
      <c r="AL139" s="32"/>
    </row>
    <row r="140" spans="38:43">
      <c r="AL140" s="32"/>
    </row>
    <row r="141" spans="38:43">
      <c r="AL141" s="32"/>
    </row>
    <row r="142" spans="38:43">
      <c r="AL142" s="32"/>
    </row>
    <row r="143" spans="38:43">
      <c r="AL143" s="32"/>
      <c r="AM143" s="17"/>
      <c r="AN143" s="17"/>
      <c r="AO143" s="17"/>
      <c r="AP143" s="17"/>
      <c r="AQ143" s="17"/>
    </row>
    <row r="144" spans="38:43">
      <c r="AL144" s="32"/>
      <c r="AM144" s="17"/>
      <c r="AN144" s="17"/>
      <c r="AO144" s="17"/>
      <c r="AP144" s="17"/>
      <c r="AQ144" s="17"/>
    </row>
    <row r="145" spans="38:46">
      <c r="AL145" s="32"/>
      <c r="AM145" s="18"/>
      <c r="AN145" s="17"/>
      <c r="AO145" s="17"/>
      <c r="AP145" s="17"/>
      <c r="AQ145" s="17"/>
    </row>
    <row r="146" spans="38:46">
      <c r="AL146" s="32"/>
    </row>
    <row r="147" spans="38:46">
      <c r="AL147" s="32"/>
    </row>
    <row r="148" spans="38:46">
      <c r="AL148" s="32"/>
    </row>
    <row r="149" spans="38:46">
      <c r="AL149" s="32"/>
    </row>
    <row r="150" spans="38:46">
      <c r="AL150" s="32"/>
    </row>
    <row r="151" spans="38:46">
      <c r="AL151" s="32"/>
    </row>
    <row r="152" spans="38:46">
      <c r="AL152" s="32"/>
      <c r="AM152" s="19"/>
      <c r="AN152" s="19"/>
      <c r="AO152" s="19"/>
      <c r="AP152" s="19"/>
      <c r="AQ152" s="19"/>
      <c r="AR152" s="19"/>
      <c r="AS152" s="19"/>
      <c r="AT152" s="19"/>
    </row>
    <row r="153" spans="38:46">
      <c r="AL153" s="32"/>
    </row>
    <row r="154" spans="38:46">
      <c r="AL154" s="32"/>
      <c r="AM154" s="19"/>
      <c r="AN154" s="19"/>
      <c r="AO154" s="19"/>
      <c r="AP154" s="19"/>
      <c r="AQ154" s="19"/>
      <c r="AR154" s="19"/>
      <c r="AS154" s="19"/>
      <c r="AT154" s="19"/>
    </row>
    <row r="155" spans="38:46">
      <c r="AL155" s="32"/>
      <c r="AN155" s="19"/>
      <c r="AO155" s="19"/>
      <c r="AP155" s="19"/>
      <c r="AQ155" s="19"/>
      <c r="AR155" s="19"/>
      <c r="AS155" s="19"/>
      <c r="AT155" s="19"/>
    </row>
    <row r="156" spans="38:46">
      <c r="AL156" s="32"/>
      <c r="AN156" s="19"/>
      <c r="AO156" s="19"/>
      <c r="AP156" s="19"/>
      <c r="AQ156" s="19"/>
      <c r="AR156" s="19"/>
      <c r="AS156" s="19"/>
      <c r="AT156" s="19"/>
    </row>
    <row r="157" spans="38:46">
      <c r="AL157" s="32"/>
      <c r="AN157" s="19"/>
      <c r="AO157" s="19"/>
      <c r="AP157" s="19"/>
      <c r="AQ157" s="19"/>
      <c r="AR157" s="19"/>
      <c r="AS157" s="19"/>
      <c r="AT157" s="19"/>
    </row>
    <row r="158" spans="38:46">
      <c r="AL158" s="32"/>
      <c r="AN158" s="19"/>
      <c r="AO158" s="19"/>
      <c r="AP158" s="19"/>
      <c r="AQ158" s="19"/>
      <c r="AR158" s="19"/>
      <c r="AS158" s="19"/>
      <c r="AT158" s="19"/>
    </row>
    <row r="159" spans="38:46">
      <c r="AL159" s="32"/>
    </row>
    <row r="160" spans="38:46">
      <c r="AL160" s="32"/>
    </row>
    <row r="161" spans="38:38">
      <c r="AL161" s="32"/>
    </row>
    <row r="162" spans="38:38">
      <c r="AL162" s="32"/>
    </row>
    <row r="163" spans="38:38">
      <c r="AL163" s="32"/>
    </row>
    <row r="164" spans="38:38">
      <c r="AL164" s="32"/>
    </row>
    <row r="165" spans="38:38">
      <c r="AL165" s="32"/>
    </row>
    <row r="166" spans="38:38">
      <c r="AL166" s="32"/>
    </row>
    <row r="167" spans="38:38">
      <c r="AL167" s="32"/>
    </row>
    <row r="168" spans="38:38">
      <c r="AL168" s="32"/>
    </row>
    <row r="169" spans="38:38">
      <c r="AL169" s="32"/>
    </row>
    <row r="170" spans="38:38">
      <c r="AL170" s="32"/>
    </row>
    <row r="171" spans="38:38">
      <c r="AL171" s="32"/>
    </row>
    <row r="172" spans="38:38">
      <c r="AL172" s="32"/>
    </row>
    <row r="173" spans="38:38">
      <c r="AL173" s="32"/>
    </row>
    <row r="174" spans="38:38">
      <c r="AL174" s="32"/>
    </row>
    <row r="175" spans="38:38">
      <c r="AL175" s="32"/>
    </row>
    <row r="176" spans="38:38">
      <c r="AL176" s="32"/>
    </row>
    <row r="177" spans="38:38">
      <c r="AL177" s="32"/>
    </row>
    <row r="178" spans="38:38">
      <c r="AL178" s="32"/>
    </row>
    <row r="179" spans="38:38">
      <c r="AL179" s="32"/>
    </row>
    <row r="180" spans="38:38">
      <c r="AL180" s="32"/>
    </row>
    <row r="181" spans="38:38">
      <c r="AL181" s="32"/>
    </row>
    <row r="182" spans="38:38">
      <c r="AL182" s="32"/>
    </row>
    <row r="183" spans="38:38">
      <c r="AL183" s="32"/>
    </row>
    <row r="184" spans="38:38">
      <c r="AL184" s="32"/>
    </row>
    <row r="185" spans="38:38">
      <c r="AL185" s="32"/>
    </row>
    <row r="186" spans="38:38">
      <c r="AL186" s="32"/>
    </row>
    <row r="187" spans="38:38">
      <c r="AL187" s="32"/>
    </row>
    <row r="188" spans="38:38">
      <c r="AL188" s="32"/>
    </row>
    <row r="189" spans="38:38">
      <c r="AL189" s="32"/>
    </row>
    <row r="190" spans="38:38">
      <c r="AL190" s="32"/>
    </row>
    <row r="191" spans="38:38">
      <c r="AL191" s="32"/>
    </row>
    <row r="192" spans="38:38">
      <c r="AL192" s="32"/>
    </row>
    <row r="193" spans="38:38">
      <c r="AL193" s="32"/>
    </row>
    <row r="194" spans="38:38">
      <c r="AL194" s="32"/>
    </row>
    <row r="195" spans="38:38">
      <c r="AL195" s="32"/>
    </row>
    <row r="196" spans="38:38">
      <c r="AL196" s="32"/>
    </row>
    <row r="197" spans="38:38">
      <c r="AL197" s="32"/>
    </row>
    <row r="198" spans="38:38">
      <c r="AL198" s="32"/>
    </row>
    <row r="199" spans="38:38">
      <c r="AL199" s="32"/>
    </row>
    <row r="200" spans="38:38">
      <c r="AL200" s="32"/>
    </row>
    <row r="201" spans="38:38">
      <c r="AL201" s="32"/>
    </row>
    <row r="202" spans="38:38">
      <c r="AL202" s="32"/>
    </row>
    <row r="203" spans="38:38">
      <c r="AL203" s="32"/>
    </row>
    <row r="204" spans="38:38">
      <c r="AL204" s="32"/>
    </row>
    <row r="205" spans="38:38">
      <c r="AL205" s="32"/>
    </row>
    <row r="206" spans="38:38">
      <c r="AL206" s="32"/>
    </row>
    <row r="207" spans="38:38">
      <c r="AL207" s="32"/>
    </row>
    <row r="208" spans="38:38">
      <c r="AL208" s="32"/>
    </row>
    <row r="209" spans="38:46">
      <c r="AL209" s="32"/>
    </row>
    <row r="210" spans="38:46">
      <c r="AL210" s="32"/>
    </row>
    <row r="211" spans="38:46">
      <c r="AL211" s="32"/>
    </row>
    <row r="212" spans="38:46">
      <c r="AL212" s="32"/>
    </row>
    <row r="213" spans="38:46">
      <c r="AT213" s="6" t="s">
        <v>236</v>
      </c>
    </row>
    <row r="214" spans="38:46">
      <c r="AT214" s="6" t="s">
        <v>235</v>
      </c>
    </row>
  </sheetData>
  <sheetProtection algorithmName="SHA-512" hashValue="SCOH18QGx8PW9h8cyeTrfuoEhw5DzQ0d0v8QyEjHQML0F3aLk8FMYuB3D8RUVtZ+4SVa+C9kcaF/SBTIIqb3tQ==" saltValue="HhQ9lukV0jLd+GA7qgKLbQ==" spinCount="100000" sheet="1" scenarios="1" formatCells="0" formatColumns="0" formatRows="0" insertColumns="0" insertRows="0" deleteColumns="0" deleteRows="0" selectLockedCells="1"/>
  <mergeCells count="132">
    <mergeCell ref="H114:AJ114"/>
    <mergeCell ref="C114:G114"/>
    <mergeCell ref="E26:G26"/>
    <mergeCell ref="W32:AJ32"/>
    <mergeCell ref="C30:W30"/>
    <mergeCell ref="AB30:AC30"/>
    <mergeCell ref="M14:N14"/>
    <mergeCell ref="P14:Q14"/>
    <mergeCell ref="C93:AJ93"/>
    <mergeCell ref="C22:R22"/>
    <mergeCell ref="T22:AJ22"/>
    <mergeCell ref="C24:R24"/>
    <mergeCell ref="T24:AJ24"/>
    <mergeCell ref="T25:AJ25"/>
    <mergeCell ref="T21:AJ21"/>
    <mergeCell ref="T23:AJ23"/>
    <mergeCell ref="C19:R19"/>
    <mergeCell ref="T19:AJ19"/>
    <mergeCell ref="AE112:AJ112"/>
    <mergeCell ref="C88:AK88"/>
    <mergeCell ref="C85:AK86"/>
    <mergeCell ref="D87:F87"/>
    <mergeCell ref="C112:G112"/>
    <mergeCell ref="Q112:AD112"/>
    <mergeCell ref="AF109:AJ109"/>
    <mergeCell ref="AC109:AE109"/>
    <mergeCell ref="C102:T102"/>
    <mergeCell ref="AF98:AJ98"/>
    <mergeCell ref="AM7:AN7"/>
    <mergeCell ref="AC5:AJ5"/>
    <mergeCell ref="AC7:AJ7"/>
    <mergeCell ref="I17:M17"/>
    <mergeCell ref="AB17:AD17"/>
    <mergeCell ref="AD9:AI9"/>
    <mergeCell ref="AD11:AI11"/>
    <mergeCell ref="C14:K14"/>
    <mergeCell ref="AH17:AI17"/>
    <mergeCell ref="X14:AD14"/>
    <mergeCell ref="AE14:AH14"/>
    <mergeCell ref="AI14:AJ14"/>
    <mergeCell ref="O17:AA17"/>
    <mergeCell ref="R14:W14"/>
    <mergeCell ref="G5:R5"/>
    <mergeCell ref="H7:R7"/>
    <mergeCell ref="S5:AB5"/>
    <mergeCell ref="Z11:AC11"/>
    <mergeCell ref="K9:Y9"/>
    <mergeCell ref="V106:Y106"/>
    <mergeCell ref="H112:P112"/>
    <mergeCell ref="W87:AK87"/>
    <mergeCell ref="C109:G109"/>
    <mergeCell ref="H109:AB110"/>
    <mergeCell ref="D48:S48"/>
    <mergeCell ref="D51:S51"/>
    <mergeCell ref="D54:S54"/>
    <mergeCell ref="K92:AJ92"/>
    <mergeCell ref="U48:AK48"/>
    <mergeCell ref="U51:AK51"/>
    <mergeCell ref="U54:AJ54"/>
    <mergeCell ref="D60:AK60"/>
    <mergeCell ref="D63:AK63"/>
    <mergeCell ref="D66:AK66"/>
    <mergeCell ref="D69:AK69"/>
    <mergeCell ref="D72:AK72"/>
    <mergeCell ref="C74:Q74"/>
    <mergeCell ref="B76:E76"/>
    <mergeCell ref="AG76:AK76"/>
    <mergeCell ref="C79:S79"/>
    <mergeCell ref="C82:M82"/>
    <mergeCell ref="W99:AJ99"/>
    <mergeCell ref="W98:AC98"/>
    <mergeCell ref="AD98:AE98"/>
    <mergeCell ref="Z106:AJ106"/>
    <mergeCell ref="H98:R98"/>
    <mergeCell ref="H99:R99"/>
    <mergeCell ref="C98:G98"/>
    <mergeCell ref="C99:G99"/>
    <mergeCell ref="W79:X79"/>
    <mergeCell ref="W102:Y102"/>
    <mergeCell ref="AB102:AC102"/>
    <mergeCell ref="AE102:AF102"/>
    <mergeCell ref="M95:Z96"/>
    <mergeCell ref="C95:K96"/>
    <mergeCell ref="S98:V98"/>
    <mergeCell ref="S99:V99"/>
    <mergeCell ref="B90:AK90"/>
    <mergeCell ref="B104:AK104"/>
    <mergeCell ref="Q106:S106"/>
    <mergeCell ref="AF95:AJ95"/>
    <mergeCell ref="C106:H106"/>
    <mergeCell ref="AD95:AE95"/>
    <mergeCell ref="K106:M106"/>
    <mergeCell ref="C28:M28"/>
    <mergeCell ref="D32:V32"/>
    <mergeCell ref="AB79:AC79"/>
    <mergeCell ref="AD79:AJ79"/>
    <mergeCell ref="T57:AJ57"/>
    <mergeCell ref="W33:AJ33"/>
    <mergeCell ref="C57:S57"/>
    <mergeCell ref="K87:S87"/>
    <mergeCell ref="C92:I92"/>
    <mergeCell ref="D45:S45"/>
    <mergeCell ref="O82:AJ82"/>
    <mergeCell ref="G76:L76"/>
    <mergeCell ref="N76:U76"/>
    <mergeCell ref="W76:AE76"/>
    <mergeCell ref="H87:J87"/>
    <mergeCell ref="T87:V87"/>
    <mergeCell ref="B2:AK2"/>
    <mergeCell ref="Z9:AC9"/>
    <mergeCell ref="C9:J9"/>
    <mergeCell ref="C11:L11"/>
    <mergeCell ref="AE17:AG17"/>
    <mergeCell ref="U45:AK45"/>
    <mergeCell ref="U42:AK42"/>
    <mergeCell ref="C4:R4"/>
    <mergeCell ref="C33:V34"/>
    <mergeCell ref="C36:W36"/>
    <mergeCell ref="C39:S39"/>
    <mergeCell ref="D42:S42"/>
    <mergeCell ref="C26:D26"/>
    <mergeCell ref="H26:K26"/>
    <mergeCell ref="M26:R26"/>
    <mergeCell ref="T26:AJ26"/>
    <mergeCell ref="S7:AB7"/>
    <mergeCell ref="M11:Y11"/>
    <mergeCell ref="C21:R21"/>
    <mergeCell ref="C23:R23"/>
    <mergeCell ref="C25:R25"/>
    <mergeCell ref="C7:G7"/>
    <mergeCell ref="C17:H17"/>
    <mergeCell ref="C5:F5"/>
  </mergeCells>
  <phoneticPr fontId="4" type="noConversion"/>
  <dataValidations count="1">
    <dataValidation type="list" allowBlank="1" showInputMessage="1" showErrorMessage="1" sqref="AO7">
      <formula1>$AT$213:$AT$214</formula1>
    </dataValidation>
  </dataValidations>
  <pageMargins left="0.70866141732283472" right="0.39370078740157483" top="0.38" bottom="0.31496062992125984" header="0.15748031496062992" footer="0.15748031496062992"/>
  <pageSetup paperSize="9" scale="83" orientation="portrait" r:id="rId1"/>
  <headerFooter>
    <oddHeader>&amp;R&amp;G</oddHeader>
    <oddFooter>&amp;L&amp;9MHG-PU-F-0018&amp;CPPAP Template ; Rev.: 01/2019&amp;R&amp;9J.-U. Liedtke / PU-SD-GA</oddFooter>
  </headerFooter>
  <colBreaks count="1" manualBreakCount="1">
    <brk id="37"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K102"/>
  <sheetViews>
    <sheetView showGridLines="0" zoomScaleNormal="100" workbookViewId="0">
      <selection activeCell="U9" sqref="U9:AH9"/>
    </sheetView>
  </sheetViews>
  <sheetFormatPr baseColWidth="10" defaultColWidth="1.42578125" defaultRowHeight="12.75"/>
  <cols>
    <col min="1" max="2" width="0.7109375" customWidth="1"/>
    <col min="3" max="3" width="3.42578125" customWidth="1"/>
    <col min="4" max="4" width="0.7109375" customWidth="1"/>
    <col min="5" max="10" width="4.42578125" customWidth="1"/>
    <col min="11" max="11" width="3.42578125" customWidth="1"/>
    <col min="12" max="12" width="4.7109375" customWidth="1"/>
    <col min="13" max="14" width="3.42578125" customWidth="1"/>
    <col min="15" max="15" width="2.7109375" customWidth="1"/>
    <col min="16" max="18" width="3.42578125" customWidth="1"/>
    <col min="19" max="19" width="3.7109375" customWidth="1"/>
    <col min="20" max="20" width="5.42578125" customWidth="1"/>
    <col min="21" max="21" width="5.85546875" customWidth="1"/>
    <col min="22" max="22" width="2.7109375" customWidth="1"/>
    <col min="23" max="24" width="3.42578125" customWidth="1"/>
    <col min="25" max="25" width="4.140625" customWidth="1"/>
    <col min="26" max="26" width="3.42578125" customWidth="1"/>
    <col min="27" max="27" width="1.7109375" customWidth="1"/>
    <col min="28" max="30" width="3.42578125" customWidth="1"/>
    <col min="31" max="31" width="3" customWidth="1"/>
    <col min="32" max="32" width="6.42578125" customWidth="1"/>
    <col min="33" max="33" width="4.7109375" customWidth="1"/>
    <col min="34" max="34" width="10.42578125" customWidth="1"/>
  </cols>
  <sheetData>
    <row r="1" spans="1:37" ht="12.75" customHeight="1">
      <c r="C1" s="46"/>
      <c r="D1" s="46"/>
      <c r="E1" s="46"/>
      <c r="F1" s="46"/>
      <c r="G1" s="46"/>
      <c r="H1" s="46"/>
      <c r="I1" s="46"/>
      <c r="J1" s="46"/>
      <c r="K1" s="46"/>
      <c r="L1" s="46"/>
      <c r="M1" s="46"/>
      <c r="N1" s="46"/>
      <c r="O1" s="46"/>
      <c r="P1" s="46"/>
      <c r="Q1" s="46"/>
      <c r="R1" s="46"/>
      <c r="S1" s="112"/>
      <c r="T1" s="112"/>
      <c r="U1" s="559" t="str">
        <f>VLOOKUP("contentofppap",Translations!$A:$T,MATCH(PSW!AO7,Translations!A1:P1,0),0)</f>
        <v>Production Part Approval
Content of PPAP</v>
      </c>
      <c r="V1" s="559"/>
      <c r="W1" s="559"/>
      <c r="X1" s="559"/>
      <c r="Y1" s="559"/>
      <c r="Z1" s="559"/>
      <c r="AA1" s="559"/>
      <c r="AB1" s="559"/>
      <c r="AC1" s="559"/>
      <c r="AD1" s="559"/>
      <c r="AE1" s="559"/>
      <c r="AF1" s="559"/>
      <c r="AG1" s="112"/>
      <c r="AH1" s="112"/>
    </row>
    <row r="2" spans="1:37" ht="12.75" customHeight="1">
      <c r="C2" s="46"/>
      <c r="D2" s="46"/>
      <c r="E2" s="46"/>
      <c r="F2" s="46"/>
      <c r="G2" s="46"/>
      <c r="H2" s="46"/>
      <c r="I2" s="46"/>
      <c r="J2" s="46"/>
      <c r="K2" s="46"/>
      <c r="L2" s="46"/>
      <c r="M2" s="46"/>
      <c r="N2" s="46"/>
      <c r="O2" s="46"/>
      <c r="P2" s="46"/>
      <c r="Q2" s="46"/>
      <c r="R2" s="46"/>
      <c r="S2" s="112"/>
      <c r="T2" s="112"/>
      <c r="U2" s="559"/>
      <c r="V2" s="559"/>
      <c r="W2" s="559"/>
      <c r="X2" s="559"/>
      <c r="Y2" s="559"/>
      <c r="Z2" s="559"/>
      <c r="AA2" s="559"/>
      <c r="AB2" s="559"/>
      <c r="AC2" s="559"/>
      <c r="AD2" s="559"/>
      <c r="AE2" s="559"/>
      <c r="AF2" s="559"/>
      <c r="AG2" s="112"/>
      <c r="AH2" s="112"/>
    </row>
    <row r="3" spans="1:37" ht="13.5" customHeight="1" thickBot="1">
      <c r="C3" s="47"/>
      <c r="D3" s="47"/>
      <c r="E3" s="47"/>
      <c r="F3" s="47"/>
      <c r="G3" s="47"/>
      <c r="H3" s="47"/>
      <c r="I3" s="47"/>
      <c r="J3" s="47"/>
      <c r="K3" s="47"/>
      <c r="L3" s="47"/>
      <c r="M3" s="47"/>
      <c r="N3" s="47"/>
      <c r="O3" s="47"/>
      <c r="P3" s="47"/>
      <c r="Q3" s="47"/>
      <c r="R3" s="47"/>
      <c r="S3" s="113"/>
      <c r="T3" s="113"/>
      <c r="U3" s="560"/>
      <c r="V3" s="560"/>
      <c r="W3" s="560"/>
      <c r="X3" s="560"/>
      <c r="Y3" s="560"/>
      <c r="Z3" s="560"/>
      <c r="AA3" s="560"/>
      <c r="AB3" s="560"/>
      <c r="AC3" s="560"/>
      <c r="AD3" s="560"/>
      <c r="AE3" s="560"/>
      <c r="AF3" s="560"/>
      <c r="AG3" s="113"/>
      <c r="AH3" s="113"/>
    </row>
    <row r="4" spans="1:37" ht="15" customHeight="1">
      <c r="A4" s="530" t="str">
        <f>'MAT Test'!A4</f>
        <v>ORGANIZATION:</v>
      </c>
      <c r="B4" s="531"/>
      <c r="C4" s="531"/>
      <c r="D4" s="531"/>
      <c r="E4" s="531"/>
      <c r="F4" s="531"/>
      <c r="G4" s="531"/>
      <c r="H4" s="569" t="s">
        <v>365</v>
      </c>
      <c r="I4" s="569"/>
      <c r="J4" s="569"/>
      <c r="K4" s="569"/>
      <c r="L4" s="569"/>
      <c r="M4" s="569"/>
      <c r="N4" s="569"/>
      <c r="O4" s="569"/>
      <c r="P4" s="569"/>
      <c r="Q4" s="569"/>
      <c r="R4" s="569"/>
      <c r="S4" s="569"/>
      <c r="T4" s="570"/>
      <c r="U4" s="495" t="str">
        <f>'MAT Test'!R4</f>
        <v>PART NUMBER:</v>
      </c>
      <c r="V4" s="496"/>
      <c r="W4" s="496"/>
      <c r="X4" s="496"/>
      <c r="Y4" s="569" t="s">
        <v>365</v>
      </c>
      <c r="Z4" s="569"/>
      <c r="AA4" s="569"/>
      <c r="AB4" s="569"/>
      <c r="AC4" s="569"/>
      <c r="AD4" s="569"/>
      <c r="AE4" s="569"/>
      <c r="AF4" s="569"/>
      <c r="AG4" s="569"/>
      <c r="AH4" s="570"/>
    </row>
    <row r="5" spans="1:37" ht="15" customHeight="1">
      <c r="A5" s="532" t="str">
        <f>'MAT Test'!A5</f>
        <v>SUPPLIER / VENDOR CODE:</v>
      </c>
      <c r="B5" s="533"/>
      <c r="C5" s="533"/>
      <c r="D5" s="533"/>
      <c r="E5" s="533"/>
      <c r="F5" s="533"/>
      <c r="G5" s="533"/>
      <c r="H5" s="533"/>
      <c r="I5" s="533"/>
      <c r="J5" s="533"/>
      <c r="K5" s="536" t="s">
        <v>365</v>
      </c>
      <c r="L5" s="536"/>
      <c r="M5" s="536"/>
      <c r="N5" s="536"/>
      <c r="O5" s="536"/>
      <c r="P5" s="536"/>
      <c r="Q5" s="536"/>
      <c r="R5" s="536"/>
      <c r="S5" s="536"/>
      <c r="T5" s="537"/>
      <c r="U5" s="534" t="str">
        <f>'MAT Test'!R5</f>
        <v>PART NAME:</v>
      </c>
      <c r="V5" s="535"/>
      <c r="W5" s="535"/>
      <c r="X5" s="535"/>
      <c r="Y5" s="535"/>
      <c r="Z5" s="536" t="s">
        <v>365</v>
      </c>
      <c r="AA5" s="536"/>
      <c r="AB5" s="536"/>
      <c r="AC5" s="536"/>
      <c r="AD5" s="536"/>
      <c r="AE5" s="536"/>
      <c r="AF5" s="536"/>
      <c r="AG5" s="536"/>
      <c r="AH5" s="537"/>
    </row>
    <row r="6" spans="1:37" ht="15" customHeight="1">
      <c r="A6" s="575"/>
      <c r="B6" s="576"/>
      <c r="C6" s="576"/>
      <c r="D6" s="576"/>
      <c r="E6" s="576"/>
      <c r="F6" s="576"/>
      <c r="G6" s="576"/>
      <c r="H6" s="576"/>
      <c r="I6" s="576"/>
      <c r="J6" s="576"/>
      <c r="K6" s="576"/>
      <c r="L6" s="576"/>
      <c r="M6" s="576"/>
      <c r="N6" s="576"/>
      <c r="O6" s="576"/>
      <c r="P6" s="576"/>
      <c r="Q6" s="576"/>
      <c r="R6" s="576"/>
      <c r="S6" s="576"/>
      <c r="T6" s="577"/>
      <c r="U6" s="534" t="str">
        <f>'MAT Test'!R6</f>
        <v>DESIGN RECORD CHANGE LEVEL:</v>
      </c>
      <c r="V6" s="535"/>
      <c r="W6" s="535"/>
      <c r="X6" s="535"/>
      <c r="Y6" s="535"/>
      <c r="Z6" s="535"/>
      <c r="AA6" s="535"/>
      <c r="AB6" s="535"/>
      <c r="AC6" s="535"/>
      <c r="AD6" s="535"/>
      <c r="AE6" s="535"/>
      <c r="AF6" s="535"/>
      <c r="AG6" s="535"/>
      <c r="AH6" s="564"/>
    </row>
    <row r="7" spans="1:37" ht="15" customHeight="1">
      <c r="A7" s="578"/>
      <c r="B7" s="579"/>
      <c r="C7" s="579"/>
      <c r="D7" s="579"/>
      <c r="E7" s="579"/>
      <c r="F7" s="579"/>
      <c r="G7" s="579"/>
      <c r="H7" s="579"/>
      <c r="I7" s="579"/>
      <c r="J7" s="579"/>
      <c r="K7" s="579"/>
      <c r="L7" s="579"/>
      <c r="M7" s="579"/>
      <c r="N7" s="579"/>
      <c r="O7" s="579"/>
      <c r="P7" s="579"/>
      <c r="Q7" s="579"/>
      <c r="R7" s="579"/>
      <c r="S7" s="579"/>
      <c r="T7" s="580"/>
      <c r="U7" s="565" t="s">
        <v>365</v>
      </c>
      <c r="V7" s="536"/>
      <c r="W7" s="536"/>
      <c r="X7" s="536"/>
      <c r="Y7" s="536"/>
      <c r="Z7" s="536"/>
      <c r="AA7" s="536"/>
      <c r="AB7" s="536"/>
      <c r="AC7" s="536"/>
      <c r="AD7" s="536"/>
      <c r="AE7" s="536"/>
      <c r="AF7" s="536"/>
      <c r="AG7" s="536"/>
      <c r="AH7" s="537"/>
    </row>
    <row r="8" spans="1:37" ht="15" customHeight="1">
      <c r="A8" s="578"/>
      <c r="B8" s="579"/>
      <c r="C8" s="579"/>
      <c r="D8" s="579"/>
      <c r="E8" s="579"/>
      <c r="F8" s="579"/>
      <c r="G8" s="579"/>
      <c r="H8" s="579"/>
      <c r="I8" s="579"/>
      <c r="J8" s="579"/>
      <c r="K8" s="579"/>
      <c r="L8" s="579"/>
      <c r="M8" s="579"/>
      <c r="N8" s="579"/>
      <c r="O8" s="579"/>
      <c r="P8" s="579"/>
      <c r="Q8" s="579"/>
      <c r="R8" s="579"/>
      <c r="S8" s="579"/>
      <c r="T8" s="580"/>
      <c r="U8" s="534" t="str">
        <f>'MAT Test'!R8</f>
        <v>ENGINEERING CHANGE DOCUMENTS:</v>
      </c>
      <c r="V8" s="535"/>
      <c r="W8" s="535"/>
      <c r="X8" s="535"/>
      <c r="Y8" s="535"/>
      <c r="Z8" s="535"/>
      <c r="AA8" s="535"/>
      <c r="AB8" s="535"/>
      <c r="AC8" s="535"/>
      <c r="AD8" s="535"/>
      <c r="AE8" s="535"/>
      <c r="AF8" s="535"/>
      <c r="AG8" s="535"/>
      <c r="AH8" s="564"/>
    </row>
    <row r="9" spans="1:37" ht="15" customHeight="1" thickBot="1">
      <c r="A9" s="581"/>
      <c r="B9" s="582"/>
      <c r="C9" s="582"/>
      <c r="D9" s="582"/>
      <c r="E9" s="582"/>
      <c r="F9" s="582"/>
      <c r="G9" s="582"/>
      <c r="H9" s="582"/>
      <c r="I9" s="582"/>
      <c r="J9" s="582"/>
      <c r="K9" s="582"/>
      <c r="L9" s="582"/>
      <c r="M9" s="582"/>
      <c r="N9" s="582"/>
      <c r="O9" s="582"/>
      <c r="P9" s="582"/>
      <c r="Q9" s="582"/>
      <c r="R9" s="582"/>
      <c r="S9" s="582"/>
      <c r="T9" s="583"/>
      <c r="U9" s="566" t="s">
        <v>365</v>
      </c>
      <c r="V9" s="567"/>
      <c r="W9" s="567"/>
      <c r="X9" s="567"/>
      <c r="Y9" s="567"/>
      <c r="Z9" s="567"/>
      <c r="AA9" s="567"/>
      <c r="AB9" s="567"/>
      <c r="AC9" s="567"/>
      <c r="AD9" s="567"/>
      <c r="AE9" s="567"/>
      <c r="AF9" s="567"/>
      <c r="AG9" s="567"/>
      <c r="AH9" s="568"/>
    </row>
    <row r="10" spans="1:37" s="45" customFormat="1" ht="44.25" customHeight="1">
      <c r="A10" s="584" t="str">
        <f>VLOOKUP("documents",Translations!$A:$T,MATCH(PSW!AO7,Translations!A1:P1,0),0)</f>
        <v>DOCUMENTS</v>
      </c>
      <c r="B10" s="585"/>
      <c r="C10" s="585"/>
      <c r="D10" s="585"/>
      <c r="E10" s="585"/>
      <c r="F10" s="585"/>
      <c r="G10" s="585"/>
      <c r="H10" s="585"/>
      <c r="I10" s="585"/>
      <c r="J10" s="585"/>
      <c r="K10" s="585"/>
      <c r="L10" s="585"/>
      <c r="M10" s="585"/>
      <c r="N10" s="585"/>
      <c r="O10" s="585"/>
      <c r="P10" s="585"/>
      <c r="Q10" s="585"/>
      <c r="R10" s="585"/>
      <c r="S10" s="585"/>
      <c r="T10" s="586"/>
      <c r="U10" s="561" t="str">
        <f>VLOOKUP("status/date",Translations!$A:$T,MATCH(PSW!AO7,Translations!A1:P1,0),0)</f>
        <v>STATUS / DATE:</v>
      </c>
      <c r="V10" s="562"/>
      <c r="W10" s="563"/>
      <c r="X10" s="562" t="str">
        <f>VLOOKUP("typeidentificationdocument",Translations!$A:$T,MATCH(PSW!AO7,Translations!A1:P1,0),0)</f>
        <v>TYPE / SCOPE / IDENTIFICATION OF THE DOCUMENT</v>
      </c>
      <c r="Y10" s="562"/>
      <c r="Z10" s="562"/>
      <c r="AA10" s="562"/>
      <c r="AB10" s="562"/>
      <c r="AC10" s="562"/>
      <c r="AD10" s="562"/>
      <c r="AE10" s="562"/>
      <c r="AF10" s="562"/>
      <c r="AG10" s="562"/>
      <c r="AH10" s="563"/>
      <c r="AI10" s="67"/>
      <c r="AJ10" s="67"/>
      <c r="AK10" s="67"/>
    </row>
    <row r="11" spans="1:37" s="45" customFormat="1" ht="3.75" customHeight="1">
      <c r="A11" s="165"/>
      <c r="B11" s="166"/>
      <c r="C11" s="167"/>
      <c r="D11" s="168"/>
      <c r="E11" s="169"/>
      <c r="F11" s="169"/>
      <c r="G11" s="169"/>
      <c r="H11" s="169"/>
      <c r="I11" s="169"/>
      <c r="J11" s="169"/>
      <c r="K11" s="169"/>
      <c r="L11" s="169"/>
      <c r="M11" s="169"/>
      <c r="N11" s="169"/>
      <c r="O11" s="169"/>
      <c r="P11" s="169"/>
      <c r="Q11" s="169"/>
      <c r="R11" s="169"/>
      <c r="S11" s="169"/>
      <c r="T11" s="169"/>
      <c r="U11" s="574"/>
      <c r="V11" s="572"/>
      <c r="W11" s="573"/>
      <c r="X11" s="571"/>
      <c r="Y11" s="572"/>
      <c r="Z11" s="572"/>
      <c r="AA11" s="572"/>
      <c r="AB11" s="572"/>
      <c r="AC11" s="572"/>
      <c r="AD11" s="572"/>
      <c r="AE11" s="572"/>
      <c r="AF11" s="572"/>
      <c r="AG11" s="572"/>
      <c r="AH11" s="573"/>
      <c r="AI11" s="67"/>
      <c r="AJ11" s="67"/>
      <c r="AK11" s="67"/>
    </row>
    <row r="12" spans="1:37" s="45" customFormat="1" ht="19.5" customHeight="1">
      <c r="A12" s="165"/>
      <c r="B12" s="166"/>
      <c r="C12" s="164"/>
      <c r="D12" s="170"/>
      <c r="E12" s="494" t="str">
        <f>VLOOKUP("designrecordsofsaleableproduct",Translations!$A:$T,MATCH(PSW!AO7,Translations!A1:P1,0),0)</f>
        <v>DESIGN RECORD OF SALEABLE PRODUCT</v>
      </c>
      <c r="F12" s="494"/>
      <c r="G12" s="494"/>
      <c r="H12" s="494"/>
      <c r="I12" s="494"/>
      <c r="J12" s="494"/>
      <c r="K12" s="494"/>
      <c r="L12" s="494"/>
      <c r="M12" s="494"/>
      <c r="N12" s="494"/>
      <c r="O12" s="494"/>
      <c r="P12" s="494"/>
      <c r="Q12" s="494"/>
      <c r="R12" s="494"/>
      <c r="S12" s="494"/>
      <c r="T12" s="494"/>
      <c r="U12" s="522"/>
      <c r="V12" s="523"/>
      <c r="W12" s="524"/>
      <c r="X12" s="522"/>
      <c r="Y12" s="523"/>
      <c r="Z12" s="523"/>
      <c r="AA12" s="523"/>
      <c r="AB12" s="523"/>
      <c r="AC12" s="523"/>
      <c r="AD12" s="523"/>
      <c r="AE12" s="523"/>
      <c r="AF12" s="523"/>
      <c r="AG12" s="523"/>
      <c r="AH12" s="524"/>
      <c r="AI12" s="68"/>
      <c r="AJ12" s="68"/>
      <c r="AK12" s="68"/>
    </row>
    <row r="13" spans="1:37" s="45" customFormat="1" ht="3.75" customHeight="1">
      <c r="A13" s="165"/>
      <c r="B13" s="166"/>
      <c r="C13" s="171"/>
      <c r="D13" s="170"/>
      <c r="E13" s="172"/>
      <c r="F13" s="172"/>
      <c r="G13" s="172"/>
      <c r="H13" s="172"/>
      <c r="I13" s="172"/>
      <c r="J13" s="172"/>
      <c r="K13" s="172"/>
      <c r="L13" s="172"/>
      <c r="M13" s="172"/>
      <c r="N13" s="172"/>
      <c r="O13" s="172"/>
      <c r="P13" s="172"/>
      <c r="Q13" s="172"/>
      <c r="R13" s="172"/>
      <c r="S13" s="172"/>
      <c r="T13" s="172"/>
      <c r="U13" s="525"/>
      <c r="V13" s="526"/>
      <c r="W13" s="527"/>
      <c r="X13" s="525"/>
      <c r="Y13" s="526"/>
      <c r="Z13" s="526"/>
      <c r="AA13" s="526"/>
      <c r="AB13" s="526"/>
      <c r="AC13" s="526"/>
      <c r="AD13" s="526"/>
      <c r="AE13" s="526"/>
      <c r="AF13" s="526"/>
      <c r="AG13" s="526"/>
      <c r="AH13" s="527"/>
      <c r="AI13" s="68"/>
      <c r="AJ13" s="68"/>
      <c r="AK13" s="68"/>
    </row>
    <row r="14" spans="1:37" s="45" customFormat="1" ht="3.75" customHeight="1">
      <c r="A14" s="173"/>
      <c r="B14" s="174"/>
      <c r="C14" s="175"/>
      <c r="D14" s="176"/>
      <c r="E14" s="177"/>
      <c r="F14" s="177"/>
      <c r="G14" s="177"/>
      <c r="H14" s="177"/>
      <c r="I14" s="177"/>
      <c r="J14" s="177"/>
      <c r="K14" s="177"/>
      <c r="L14" s="177"/>
      <c r="M14" s="177"/>
      <c r="N14" s="177"/>
      <c r="O14" s="177"/>
      <c r="P14" s="177"/>
      <c r="Q14" s="177"/>
      <c r="R14" s="177"/>
      <c r="S14" s="177"/>
      <c r="T14" s="177"/>
      <c r="U14" s="538"/>
      <c r="V14" s="539"/>
      <c r="W14" s="540"/>
      <c r="X14" s="519"/>
      <c r="Y14" s="520"/>
      <c r="Z14" s="520"/>
      <c r="AA14" s="520"/>
      <c r="AB14" s="520"/>
      <c r="AC14" s="520"/>
      <c r="AD14" s="520"/>
      <c r="AE14" s="520"/>
      <c r="AF14" s="520"/>
      <c r="AG14" s="520"/>
      <c r="AH14" s="521"/>
      <c r="AI14" s="68"/>
      <c r="AJ14" s="68"/>
      <c r="AK14" s="68"/>
    </row>
    <row r="15" spans="1:37" s="45" customFormat="1" ht="19.5" customHeight="1">
      <c r="A15" s="165"/>
      <c r="B15" s="166"/>
      <c r="C15" s="164"/>
      <c r="D15" s="170"/>
      <c r="E15" s="494" t="str">
        <f>VLOOKUP("forproprietarycomponentsdetails",Translations!$A:$T,MATCH(PSW!AO7,Translations!A1:P1,0),0)</f>
        <v>-  FOR PROPRIETARY COMPONENTS / DETAILS</v>
      </c>
      <c r="F15" s="494"/>
      <c r="G15" s="494"/>
      <c r="H15" s="494"/>
      <c r="I15" s="494"/>
      <c r="J15" s="494"/>
      <c r="K15" s="494"/>
      <c r="L15" s="494"/>
      <c r="M15" s="494"/>
      <c r="N15" s="494"/>
      <c r="O15" s="494"/>
      <c r="P15" s="494"/>
      <c r="Q15" s="494"/>
      <c r="R15" s="494"/>
      <c r="S15" s="494"/>
      <c r="T15" s="494"/>
      <c r="U15" s="541"/>
      <c r="V15" s="542"/>
      <c r="W15" s="543"/>
      <c r="X15" s="522"/>
      <c r="Y15" s="523"/>
      <c r="Z15" s="523"/>
      <c r="AA15" s="523"/>
      <c r="AB15" s="523"/>
      <c r="AC15" s="523"/>
      <c r="AD15" s="523"/>
      <c r="AE15" s="523"/>
      <c r="AF15" s="523"/>
      <c r="AG15" s="523"/>
      <c r="AH15" s="524"/>
      <c r="AI15" s="68"/>
      <c r="AJ15" s="69"/>
      <c r="AK15" s="69"/>
    </row>
    <row r="16" spans="1:37" ht="3.75" customHeight="1">
      <c r="A16" s="192"/>
      <c r="B16" s="178"/>
      <c r="C16" s="178"/>
      <c r="D16" s="178"/>
      <c r="E16" s="179"/>
      <c r="F16" s="179"/>
      <c r="G16" s="179"/>
      <c r="H16" s="179"/>
      <c r="I16" s="179"/>
      <c r="J16" s="179"/>
      <c r="K16" s="179"/>
      <c r="L16" s="179"/>
      <c r="M16" s="179"/>
      <c r="N16" s="179"/>
      <c r="O16" s="179"/>
      <c r="P16" s="179"/>
      <c r="Q16" s="179"/>
      <c r="R16" s="179"/>
      <c r="S16" s="179"/>
      <c r="T16" s="179"/>
      <c r="U16" s="544"/>
      <c r="V16" s="545"/>
      <c r="W16" s="546"/>
      <c r="X16" s="525"/>
      <c r="Y16" s="526"/>
      <c r="Z16" s="526"/>
      <c r="AA16" s="526"/>
      <c r="AB16" s="526"/>
      <c r="AC16" s="526"/>
      <c r="AD16" s="526"/>
      <c r="AE16" s="526"/>
      <c r="AF16" s="526"/>
      <c r="AG16" s="526"/>
      <c r="AH16" s="527"/>
    </row>
    <row r="17" spans="1:37" ht="3.75" customHeight="1">
      <c r="A17" s="193"/>
      <c r="B17" s="170"/>
      <c r="C17" s="170"/>
      <c r="D17" s="170"/>
      <c r="E17" s="5"/>
      <c r="F17" s="5"/>
      <c r="G17" s="5"/>
      <c r="H17" s="5"/>
      <c r="I17" s="5"/>
      <c r="J17" s="5"/>
      <c r="K17" s="5"/>
      <c r="L17" s="5"/>
      <c r="M17" s="5"/>
      <c r="N17" s="5"/>
      <c r="O17" s="5"/>
      <c r="P17" s="5"/>
      <c r="Q17" s="5"/>
      <c r="R17" s="5"/>
      <c r="S17" s="5"/>
      <c r="T17" s="5"/>
      <c r="U17" s="547"/>
      <c r="V17" s="548"/>
      <c r="W17" s="549"/>
      <c r="X17" s="547"/>
      <c r="Y17" s="548"/>
      <c r="Z17" s="548"/>
      <c r="AA17" s="548"/>
      <c r="AB17" s="548"/>
      <c r="AC17" s="548"/>
      <c r="AD17" s="548"/>
      <c r="AE17" s="548"/>
      <c r="AF17" s="548"/>
      <c r="AG17" s="548"/>
      <c r="AH17" s="549"/>
    </row>
    <row r="18" spans="1:37" s="45" customFormat="1" ht="19.5" customHeight="1">
      <c r="A18" s="165"/>
      <c r="B18" s="166"/>
      <c r="C18" s="164"/>
      <c r="D18" s="170"/>
      <c r="E18" s="494" t="str">
        <f>VLOOKUP("forallothercomponentsdetails",Translations!$A:$T,MATCH(PSW!AO7,Translations!A1:P1,0),0)</f>
        <v>-  FOR ALL OTHER COMPONENTS / DETAILS</v>
      </c>
      <c r="F18" s="494"/>
      <c r="G18" s="494"/>
      <c r="H18" s="494"/>
      <c r="I18" s="494"/>
      <c r="J18" s="494"/>
      <c r="K18" s="494"/>
      <c r="L18" s="494"/>
      <c r="M18" s="494"/>
      <c r="N18" s="494"/>
      <c r="O18" s="494"/>
      <c r="P18" s="494"/>
      <c r="Q18" s="494"/>
      <c r="R18" s="494"/>
      <c r="S18" s="494"/>
      <c r="T18" s="494"/>
      <c r="U18" s="550"/>
      <c r="V18" s="551"/>
      <c r="W18" s="552"/>
      <c r="X18" s="550"/>
      <c r="Y18" s="551"/>
      <c r="Z18" s="551"/>
      <c r="AA18" s="551"/>
      <c r="AB18" s="551"/>
      <c r="AC18" s="551"/>
      <c r="AD18" s="551"/>
      <c r="AE18" s="551"/>
      <c r="AF18" s="551"/>
      <c r="AG18" s="551"/>
      <c r="AH18" s="552"/>
      <c r="AI18" s="68"/>
      <c r="AJ18" s="69"/>
      <c r="AK18" s="69"/>
    </row>
    <row r="19" spans="1:37" ht="3.75" customHeight="1">
      <c r="A19" s="193"/>
      <c r="B19" s="170"/>
      <c r="C19" s="170"/>
      <c r="D19" s="170"/>
      <c r="E19" s="5"/>
      <c r="F19" s="5"/>
      <c r="G19" s="5"/>
      <c r="H19" s="5"/>
      <c r="I19" s="5"/>
      <c r="J19" s="5"/>
      <c r="K19" s="5"/>
      <c r="L19" s="5"/>
      <c r="M19" s="5"/>
      <c r="N19" s="5"/>
      <c r="O19" s="5"/>
      <c r="P19" s="5"/>
      <c r="Q19" s="5"/>
      <c r="R19" s="5"/>
      <c r="S19" s="5"/>
      <c r="T19" s="5"/>
      <c r="U19" s="553"/>
      <c r="V19" s="554"/>
      <c r="W19" s="555"/>
      <c r="X19" s="553"/>
      <c r="Y19" s="554"/>
      <c r="Z19" s="554"/>
      <c r="AA19" s="554"/>
      <c r="AB19" s="554"/>
      <c r="AC19" s="554"/>
      <c r="AD19" s="554"/>
      <c r="AE19" s="554"/>
      <c r="AF19" s="554"/>
      <c r="AG19" s="554"/>
      <c r="AH19" s="555"/>
    </row>
    <row r="20" spans="1:37" ht="3.75" customHeight="1">
      <c r="A20" s="194"/>
      <c r="B20" s="176"/>
      <c r="C20" s="176"/>
      <c r="D20" s="176"/>
      <c r="E20" s="180"/>
      <c r="F20" s="180"/>
      <c r="G20" s="180"/>
      <c r="H20" s="180"/>
      <c r="I20" s="180"/>
      <c r="J20" s="180"/>
      <c r="K20" s="180"/>
      <c r="L20" s="180"/>
      <c r="M20" s="180"/>
      <c r="N20" s="180"/>
      <c r="O20" s="180"/>
      <c r="P20" s="180"/>
      <c r="Q20" s="180"/>
      <c r="R20" s="180"/>
      <c r="S20" s="180"/>
      <c r="T20" s="180"/>
      <c r="U20" s="547"/>
      <c r="V20" s="548"/>
      <c r="W20" s="549"/>
      <c r="X20" s="547"/>
      <c r="Y20" s="548"/>
      <c r="Z20" s="548"/>
      <c r="AA20" s="548"/>
      <c r="AB20" s="548"/>
      <c r="AC20" s="548"/>
      <c r="AD20" s="548"/>
      <c r="AE20" s="548"/>
      <c r="AF20" s="548"/>
      <c r="AG20" s="548"/>
      <c r="AH20" s="549"/>
    </row>
    <row r="21" spans="1:37" s="45" customFormat="1" ht="19.5" customHeight="1">
      <c r="A21" s="165"/>
      <c r="B21" s="166"/>
      <c r="C21" s="164"/>
      <c r="D21" s="170"/>
      <c r="E21" s="494" t="str">
        <f>VLOOKUP("authorizedengineeringchangedocuments",Translations!$A:$T,MATCH(PSW!AO7,Translations!A1:P1,0),0)</f>
        <v>AUTHORIZED ENGINEERING CHANGE DOCUMENTS</v>
      </c>
      <c r="F21" s="494"/>
      <c r="G21" s="494"/>
      <c r="H21" s="494"/>
      <c r="I21" s="494"/>
      <c r="J21" s="494"/>
      <c r="K21" s="494"/>
      <c r="L21" s="494"/>
      <c r="M21" s="494"/>
      <c r="N21" s="494"/>
      <c r="O21" s="494"/>
      <c r="P21" s="494"/>
      <c r="Q21" s="494"/>
      <c r="R21" s="494"/>
      <c r="S21" s="494"/>
      <c r="T21" s="494"/>
      <c r="U21" s="550"/>
      <c r="V21" s="551"/>
      <c r="W21" s="552"/>
      <c r="X21" s="550"/>
      <c r="Y21" s="551"/>
      <c r="Z21" s="551"/>
      <c r="AA21" s="551"/>
      <c r="AB21" s="551"/>
      <c r="AC21" s="551"/>
      <c r="AD21" s="551"/>
      <c r="AE21" s="551"/>
      <c r="AF21" s="551"/>
      <c r="AG21" s="551"/>
      <c r="AH21" s="552"/>
      <c r="AI21" s="68"/>
      <c r="AJ21" s="68"/>
      <c r="AK21" s="68"/>
    </row>
    <row r="22" spans="1:37" ht="3.75" customHeight="1">
      <c r="A22" s="193"/>
      <c r="B22" s="170"/>
      <c r="C22" s="170"/>
      <c r="D22" s="170"/>
      <c r="E22" s="5"/>
      <c r="F22" s="5"/>
      <c r="G22" s="5"/>
      <c r="H22" s="5"/>
      <c r="I22" s="5"/>
      <c r="J22" s="5"/>
      <c r="K22" s="5"/>
      <c r="L22" s="5"/>
      <c r="M22" s="5"/>
      <c r="N22" s="5"/>
      <c r="O22" s="5"/>
      <c r="P22" s="5"/>
      <c r="Q22" s="5"/>
      <c r="R22" s="5"/>
      <c r="S22" s="5"/>
      <c r="T22" s="5"/>
      <c r="U22" s="553"/>
      <c r="V22" s="554"/>
      <c r="W22" s="555"/>
      <c r="X22" s="553"/>
      <c r="Y22" s="554"/>
      <c r="Z22" s="554"/>
      <c r="AA22" s="554"/>
      <c r="AB22" s="554"/>
      <c r="AC22" s="554"/>
      <c r="AD22" s="554"/>
      <c r="AE22" s="554"/>
      <c r="AF22" s="554"/>
      <c r="AG22" s="554"/>
      <c r="AH22" s="555"/>
    </row>
    <row r="23" spans="1:37" ht="3.75" customHeight="1">
      <c r="A23" s="194"/>
      <c r="B23" s="176"/>
      <c r="C23" s="176"/>
      <c r="D23" s="176"/>
      <c r="E23" s="180"/>
      <c r="F23" s="180"/>
      <c r="G23" s="180"/>
      <c r="H23" s="180"/>
      <c r="I23" s="180"/>
      <c r="J23" s="180"/>
      <c r="K23" s="180"/>
      <c r="L23" s="180"/>
      <c r="M23" s="180"/>
      <c r="N23" s="180"/>
      <c r="O23" s="180"/>
      <c r="P23" s="180"/>
      <c r="Q23" s="180"/>
      <c r="R23" s="180"/>
      <c r="S23" s="180"/>
      <c r="T23" s="180"/>
      <c r="U23" s="547"/>
      <c r="V23" s="548"/>
      <c r="W23" s="549"/>
      <c r="X23" s="547"/>
      <c r="Y23" s="548"/>
      <c r="Z23" s="548"/>
      <c r="AA23" s="548"/>
      <c r="AB23" s="548"/>
      <c r="AC23" s="548"/>
      <c r="AD23" s="548"/>
      <c r="AE23" s="548"/>
      <c r="AF23" s="548"/>
      <c r="AG23" s="548"/>
      <c r="AH23" s="549"/>
    </row>
    <row r="24" spans="1:37" s="45" customFormat="1" ht="19.5" customHeight="1">
      <c r="A24" s="165"/>
      <c r="B24" s="166"/>
      <c r="C24" s="164"/>
      <c r="D24" s="170"/>
      <c r="E24" s="494" t="str">
        <f>VLOOKUP("customerengineeringapproval",Translations!$A:$T,MATCH(PSW!AO7,Translations!A1:P1,0),0)</f>
        <v>CUSTOMER ENGINEERING APPROVAL</v>
      </c>
      <c r="F24" s="494"/>
      <c r="G24" s="494"/>
      <c r="H24" s="494"/>
      <c r="I24" s="494"/>
      <c r="J24" s="494"/>
      <c r="K24" s="494"/>
      <c r="L24" s="494"/>
      <c r="M24" s="494"/>
      <c r="N24" s="494"/>
      <c r="O24" s="494"/>
      <c r="P24" s="494"/>
      <c r="Q24" s="494"/>
      <c r="R24" s="494"/>
      <c r="S24" s="494"/>
      <c r="T24" s="494"/>
      <c r="U24" s="550"/>
      <c r="V24" s="551"/>
      <c r="W24" s="552"/>
      <c r="X24" s="550"/>
      <c r="Y24" s="551"/>
      <c r="Z24" s="551"/>
      <c r="AA24" s="551"/>
      <c r="AB24" s="551"/>
      <c r="AC24" s="551"/>
      <c r="AD24" s="551"/>
      <c r="AE24" s="551"/>
      <c r="AF24" s="551"/>
      <c r="AG24" s="551"/>
      <c r="AH24" s="552"/>
      <c r="AI24" s="68"/>
      <c r="AJ24" s="68"/>
      <c r="AK24" s="68"/>
    </row>
    <row r="25" spans="1:37" ht="3.75" customHeight="1">
      <c r="A25" s="193"/>
      <c r="B25" s="170"/>
      <c r="C25" s="170"/>
      <c r="D25" s="170"/>
      <c r="E25" s="5"/>
      <c r="F25" s="5"/>
      <c r="G25" s="5"/>
      <c r="H25" s="5"/>
      <c r="I25" s="5"/>
      <c r="J25" s="5"/>
      <c r="K25" s="5"/>
      <c r="L25" s="5"/>
      <c r="M25" s="5"/>
      <c r="N25" s="5"/>
      <c r="O25" s="5"/>
      <c r="P25" s="5"/>
      <c r="Q25" s="5"/>
      <c r="R25" s="5"/>
      <c r="S25" s="5"/>
      <c r="T25" s="5"/>
      <c r="U25" s="553"/>
      <c r="V25" s="554"/>
      <c r="W25" s="555"/>
      <c r="X25" s="553"/>
      <c r="Y25" s="554"/>
      <c r="Z25" s="554"/>
      <c r="AA25" s="554"/>
      <c r="AB25" s="554"/>
      <c r="AC25" s="554"/>
      <c r="AD25" s="554"/>
      <c r="AE25" s="554"/>
      <c r="AF25" s="554"/>
      <c r="AG25" s="554"/>
      <c r="AH25" s="555"/>
    </row>
    <row r="26" spans="1:37" ht="3.75" customHeight="1">
      <c r="A26" s="194"/>
      <c r="B26" s="176"/>
      <c r="C26" s="176"/>
      <c r="D26" s="176"/>
      <c r="E26" s="180"/>
      <c r="F26" s="180"/>
      <c r="G26" s="180"/>
      <c r="H26" s="180"/>
      <c r="I26" s="180"/>
      <c r="J26" s="180"/>
      <c r="K26" s="180"/>
      <c r="L26" s="180"/>
      <c r="M26" s="180"/>
      <c r="N26" s="180"/>
      <c r="O26" s="180"/>
      <c r="P26" s="180"/>
      <c r="Q26" s="180"/>
      <c r="R26" s="180"/>
      <c r="S26" s="180"/>
      <c r="T26" s="180"/>
      <c r="U26" s="547"/>
      <c r="V26" s="548"/>
      <c r="W26" s="549"/>
      <c r="X26" s="547"/>
      <c r="Y26" s="548"/>
      <c r="Z26" s="548"/>
      <c r="AA26" s="548"/>
      <c r="AB26" s="548"/>
      <c r="AC26" s="548"/>
      <c r="AD26" s="548"/>
      <c r="AE26" s="548"/>
      <c r="AF26" s="548"/>
      <c r="AG26" s="548"/>
      <c r="AH26" s="549"/>
    </row>
    <row r="27" spans="1:37" s="45" customFormat="1" ht="19.5" customHeight="1">
      <c r="A27" s="165"/>
      <c r="B27" s="166"/>
      <c r="C27" s="164"/>
      <c r="D27" s="170"/>
      <c r="E27" s="494" t="str">
        <f>VLOOKUP("designfmea",Translations!$A:$T,MATCH(PSW!AO7,Translations!A1:P1,0),0)</f>
        <v>DESIGN FMEA</v>
      </c>
      <c r="F27" s="494"/>
      <c r="G27" s="494"/>
      <c r="H27" s="494"/>
      <c r="I27" s="494"/>
      <c r="J27" s="494"/>
      <c r="K27" s="494"/>
      <c r="L27" s="494"/>
      <c r="M27" s="494"/>
      <c r="N27" s="494"/>
      <c r="O27" s="494"/>
      <c r="P27" s="494"/>
      <c r="Q27" s="494"/>
      <c r="R27" s="494"/>
      <c r="S27" s="494"/>
      <c r="T27" s="494"/>
      <c r="U27" s="550"/>
      <c r="V27" s="551"/>
      <c r="W27" s="552"/>
      <c r="X27" s="550"/>
      <c r="Y27" s="551"/>
      <c r="Z27" s="551"/>
      <c r="AA27" s="551"/>
      <c r="AB27" s="551"/>
      <c r="AC27" s="551"/>
      <c r="AD27" s="551"/>
      <c r="AE27" s="551"/>
      <c r="AF27" s="551"/>
      <c r="AG27" s="551"/>
      <c r="AH27" s="552"/>
      <c r="AI27" s="68"/>
      <c r="AJ27" s="68"/>
      <c r="AK27" s="68"/>
    </row>
    <row r="28" spans="1:37" s="45" customFormat="1" ht="3.75" customHeight="1">
      <c r="A28" s="165"/>
      <c r="B28" s="166"/>
      <c r="C28" s="171"/>
      <c r="D28" s="170"/>
      <c r="E28" s="172"/>
      <c r="F28" s="172"/>
      <c r="G28" s="172"/>
      <c r="H28" s="172"/>
      <c r="I28" s="172"/>
      <c r="J28" s="172"/>
      <c r="K28" s="172"/>
      <c r="L28" s="172"/>
      <c r="M28" s="172"/>
      <c r="N28" s="172"/>
      <c r="O28" s="172"/>
      <c r="P28" s="172"/>
      <c r="Q28" s="172"/>
      <c r="R28" s="172"/>
      <c r="S28" s="172"/>
      <c r="T28" s="172"/>
      <c r="U28" s="553"/>
      <c r="V28" s="554"/>
      <c r="W28" s="555"/>
      <c r="X28" s="553"/>
      <c r="Y28" s="554"/>
      <c r="Z28" s="554"/>
      <c r="AA28" s="554"/>
      <c r="AB28" s="554"/>
      <c r="AC28" s="554"/>
      <c r="AD28" s="554"/>
      <c r="AE28" s="554"/>
      <c r="AF28" s="554"/>
      <c r="AG28" s="554"/>
      <c r="AH28" s="555"/>
      <c r="AI28" s="68"/>
      <c r="AJ28" s="68"/>
      <c r="AK28" s="68"/>
    </row>
    <row r="29" spans="1:37" s="45" customFormat="1" ht="3.75" customHeight="1">
      <c r="A29" s="173"/>
      <c r="B29" s="174"/>
      <c r="C29" s="175"/>
      <c r="D29" s="176"/>
      <c r="E29" s="177"/>
      <c r="F29" s="177"/>
      <c r="G29" s="177"/>
      <c r="H29" s="177"/>
      <c r="I29" s="177"/>
      <c r="J29" s="177"/>
      <c r="K29" s="177"/>
      <c r="L29" s="177"/>
      <c r="M29" s="177"/>
      <c r="N29" s="177"/>
      <c r="O29" s="177"/>
      <c r="P29" s="177"/>
      <c r="Q29" s="177"/>
      <c r="R29" s="177"/>
      <c r="S29" s="177"/>
      <c r="T29" s="177"/>
      <c r="U29" s="519"/>
      <c r="V29" s="520"/>
      <c r="W29" s="521"/>
      <c r="X29" s="519"/>
      <c r="Y29" s="520"/>
      <c r="Z29" s="520"/>
      <c r="AA29" s="520"/>
      <c r="AB29" s="520"/>
      <c r="AC29" s="520"/>
      <c r="AD29" s="520"/>
      <c r="AE29" s="520"/>
      <c r="AF29" s="520"/>
      <c r="AG29" s="520"/>
      <c r="AH29" s="521"/>
      <c r="AI29" s="68"/>
      <c r="AJ29" s="68"/>
      <c r="AK29" s="68"/>
    </row>
    <row r="30" spans="1:37" s="45" customFormat="1" ht="19.5" customHeight="1">
      <c r="A30" s="165"/>
      <c r="B30" s="166"/>
      <c r="C30" s="164"/>
      <c r="D30" s="170"/>
      <c r="E30" s="494" t="str">
        <f>VLOOKUP("processflowdiagram",Translations!$A:$T,MATCH(PSW!AO7,Translations!A1:P1,0),0)</f>
        <v>PROCESS FLOW DIAGRAM</v>
      </c>
      <c r="F30" s="494"/>
      <c r="G30" s="494"/>
      <c r="H30" s="494"/>
      <c r="I30" s="494"/>
      <c r="J30" s="494"/>
      <c r="K30" s="494"/>
      <c r="L30" s="494"/>
      <c r="M30" s="494"/>
      <c r="N30" s="494"/>
      <c r="O30" s="494"/>
      <c r="P30" s="494"/>
      <c r="Q30" s="494"/>
      <c r="R30" s="494"/>
      <c r="S30" s="494"/>
      <c r="T30" s="494"/>
      <c r="U30" s="522"/>
      <c r="V30" s="523"/>
      <c r="W30" s="524"/>
      <c r="X30" s="522"/>
      <c r="Y30" s="523"/>
      <c r="Z30" s="523"/>
      <c r="AA30" s="523"/>
      <c r="AB30" s="523"/>
      <c r="AC30" s="523"/>
      <c r="AD30" s="523"/>
      <c r="AE30" s="523"/>
      <c r="AF30" s="523"/>
      <c r="AG30" s="523"/>
      <c r="AH30" s="524"/>
      <c r="AI30" s="68"/>
      <c r="AJ30" s="68"/>
      <c r="AK30" s="68"/>
    </row>
    <row r="31" spans="1:37" s="45" customFormat="1" ht="3.75" customHeight="1">
      <c r="A31" s="193"/>
      <c r="B31" s="170"/>
      <c r="C31" s="170"/>
      <c r="D31" s="170"/>
      <c r="E31" s="172"/>
      <c r="F31" s="172"/>
      <c r="G31" s="172"/>
      <c r="H31" s="172"/>
      <c r="I31" s="172"/>
      <c r="J31" s="172"/>
      <c r="K31" s="172"/>
      <c r="L31" s="172"/>
      <c r="M31" s="172"/>
      <c r="N31" s="172"/>
      <c r="O31" s="172"/>
      <c r="P31" s="172"/>
      <c r="Q31" s="172"/>
      <c r="R31" s="172"/>
      <c r="S31" s="172"/>
      <c r="T31" s="172"/>
      <c r="U31" s="525"/>
      <c r="V31" s="526"/>
      <c r="W31" s="527"/>
      <c r="X31" s="525"/>
      <c r="Y31" s="526"/>
      <c r="Z31" s="526"/>
      <c r="AA31" s="526"/>
      <c r="AB31" s="526"/>
      <c r="AC31" s="526"/>
      <c r="AD31" s="526"/>
      <c r="AE31" s="526"/>
      <c r="AF31" s="526"/>
      <c r="AG31" s="526"/>
      <c r="AH31" s="527"/>
      <c r="AI31" s="68"/>
      <c r="AJ31" s="68"/>
      <c r="AK31" s="68"/>
    </row>
    <row r="32" spans="1:37" s="45" customFormat="1" ht="3.75" customHeight="1">
      <c r="A32" s="194"/>
      <c r="B32" s="176"/>
      <c r="C32" s="176"/>
      <c r="D32" s="176"/>
      <c r="E32" s="177"/>
      <c r="F32" s="177"/>
      <c r="G32" s="177"/>
      <c r="H32" s="177"/>
      <c r="I32" s="177"/>
      <c r="J32" s="177"/>
      <c r="K32" s="177"/>
      <c r="L32" s="177"/>
      <c r="M32" s="177"/>
      <c r="N32" s="177"/>
      <c r="O32" s="177"/>
      <c r="P32" s="177"/>
      <c r="Q32" s="177"/>
      <c r="R32" s="177"/>
      <c r="S32" s="177"/>
      <c r="T32" s="177"/>
      <c r="U32" s="519"/>
      <c r="V32" s="520"/>
      <c r="W32" s="521"/>
      <c r="X32" s="519"/>
      <c r="Y32" s="520"/>
      <c r="Z32" s="520"/>
      <c r="AA32" s="520"/>
      <c r="AB32" s="520"/>
      <c r="AC32" s="520"/>
      <c r="AD32" s="520"/>
      <c r="AE32" s="520"/>
      <c r="AF32" s="520"/>
      <c r="AG32" s="520"/>
      <c r="AH32" s="521"/>
      <c r="AI32" s="68"/>
      <c r="AJ32" s="68"/>
      <c r="AK32" s="68"/>
    </row>
    <row r="33" spans="1:37" s="45" customFormat="1" ht="19.5" customHeight="1">
      <c r="A33" s="165"/>
      <c r="B33" s="166"/>
      <c r="C33" s="164"/>
      <c r="D33" s="170"/>
      <c r="E33" s="494" t="str">
        <f>VLOOKUP("processfmea",Translations!$A:$T,MATCH(PSW!AO7,Translations!A1:P1,0),0)</f>
        <v>PROCESS FMEA</v>
      </c>
      <c r="F33" s="494"/>
      <c r="G33" s="494"/>
      <c r="H33" s="494"/>
      <c r="I33" s="494"/>
      <c r="J33" s="494"/>
      <c r="K33" s="494"/>
      <c r="L33" s="494"/>
      <c r="M33" s="494"/>
      <c r="N33" s="494"/>
      <c r="O33" s="494"/>
      <c r="P33" s="494"/>
      <c r="Q33" s="494"/>
      <c r="R33" s="494"/>
      <c r="S33" s="494"/>
      <c r="T33" s="494"/>
      <c r="U33" s="522"/>
      <c r="V33" s="523"/>
      <c r="W33" s="524"/>
      <c r="X33" s="522"/>
      <c r="Y33" s="523"/>
      <c r="Z33" s="523"/>
      <c r="AA33" s="523"/>
      <c r="AB33" s="523"/>
      <c r="AC33" s="523"/>
      <c r="AD33" s="523"/>
      <c r="AE33" s="523"/>
      <c r="AF33" s="523"/>
      <c r="AG33" s="523"/>
      <c r="AH33" s="524"/>
      <c r="AI33" s="68"/>
      <c r="AJ33" s="68"/>
      <c r="AK33" s="68"/>
    </row>
    <row r="34" spans="1:37" s="45" customFormat="1" ht="3.75" customHeight="1">
      <c r="A34" s="165"/>
      <c r="B34" s="166"/>
      <c r="C34" s="171"/>
      <c r="D34" s="170"/>
      <c r="E34" s="172"/>
      <c r="F34" s="172"/>
      <c r="G34" s="172"/>
      <c r="H34" s="172"/>
      <c r="I34" s="172"/>
      <c r="J34" s="172"/>
      <c r="K34" s="172"/>
      <c r="L34" s="172"/>
      <c r="M34" s="172"/>
      <c r="N34" s="172"/>
      <c r="O34" s="172"/>
      <c r="P34" s="172"/>
      <c r="Q34" s="172"/>
      <c r="R34" s="172"/>
      <c r="S34" s="172"/>
      <c r="T34" s="172"/>
      <c r="U34" s="525"/>
      <c r="V34" s="526"/>
      <c r="W34" s="527"/>
      <c r="X34" s="525"/>
      <c r="Y34" s="526"/>
      <c r="Z34" s="526"/>
      <c r="AA34" s="526"/>
      <c r="AB34" s="526"/>
      <c r="AC34" s="526"/>
      <c r="AD34" s="526"/>
      <c r="AE34" s="526"/>
      <c r="AF34" s="526"/>
      <c r="AG34" s="526"/>
      <c r="AH34" s="527"/>
      <c r="AI34" s="68"/>
      <c r="AJ34" s="68"/>
      <c r="AK34" s="68"/>
    </row>
    <row r="35" spans="1:37" s="45" customFormat="1" ht="3.75" customHeight="1">
      <c r="A35" s="173"/>
      <c r="B35" s="174"/>
      <c r="C35" s="175"/>
      <c r="D35" s="176"/>
      <c r="E35" s="177"/>
      <c r="F35" s="177"/>
      <c r="G35" s="177"/>
      <c r="H35" s="177"/>
      <c r="I35" s="177"/>
      <c r="J35" s="177"/>
      <c r="K35" s="177"/>
      <c r="L35" s="177"/>
      <c r="M35" s="177"/>
      <c r="N35" s="177"/>
      <c r="O35" s="177"/>
      <c r="P35" s="177"/>
      <c r="Q35" s="177"/>
      <c r="R35" s="177"/>
      <c r="S35" s="177"/>
      <c r="T35" s="177"/>
      <c r="U35" s="519"/>
      <c r="V35" s="520"/>
      <c r="W35" s="521"/>
      <c r="X35" s="519"/>
      <c r="Y35" s="520"/>
      <c r="Z35" s="520"/>
      <c r="AA35" s="520"/>
      <c r="AB35" s="520"/>
      <c r="AC35" s="520"/>
      <c r="AD35" s="520"/>
      <c r="AE35" s="520"/>
      <c r="AF35" s="520"/>
      <c r="AG35" s="520"/>
      <c r="AH35" s="521"/>
      <c r="AI35" s="68"/>
      <c r="AJ35" s="68"/>
      <c r="AK35" s="68"/>
    </row>
    <row r="36" spans="1:37" s="45" customFormat="1" ht="19.5" customHeight="1">
      <c r="A36" s="165"/>
      <c r="B36" s="166"/>
      <c r="C36" s="164"/>
      <c r="D36" s="170"/>
      <c r="E36" s="494" t="str">
        <f>VLOOKUP("controlplan",Translations!$A:$T,MATCH(PSW!AO7,Translations!A1:P1,0),0)</f>
        <v>CONTROL PLAN</v>
      </c>
      <c r="F36" s="494"/>
      <c r="G36" s="494"/>
      <c r="H36" s="494"/>
      <c r="I36" s="494"/>
      <c r="J36" s="494"/>
      <c r="K36" s="494"/>
      <c r="L36" s="494"/>
      <c r="M36" s="494"/>
      <c r="N36" s="494"/>
      <c r="O36" s="494"/>
      <c r="P36" s="494"/>
      <c r="Q36" s="494"/>
      <c r="R36" s="494"/>
      <c r="S36" s="494"/>
      <c r="T36" s="494"/>
      <c r="U36" s="522"/>
      <c r="V36" s="523"/>
      <c r="W36" s="524"/>
      <c r="X36" s="522"/>
      <c r="Y36" s="523"/>
      <c r="Z36" s="523"/>
      <c r="AA36" s="523"/>
      <c r="AB36" s="523"/>
      <c r="AC36" s="523"/>
      <c r="AD36" s="523"/>
      <c r="AE36" s="523"/>
      <c r="AF36" s="523"/>
      <c r="AG36" s="523"/>
      <c r="AH36" s="524"/>
      <c r="AI36" s="68"/>
      <c r="AJ36" s="68"/>
      <c r="AK36" s="68"/>
    </row>
    <row r="37" spans="1:37" s="45" customFormat="1" ht="3.75" customHeight="1">
      <c r="A37" s="165"/>
      <c r="B37" s="166"/>
      <c r="C37" s="171"/>
      <c r="D37" s="170"/>
      <c r="E37" s="172"/>
      <c r="F37" s="172"/>
      <c r="G37" s="172"/>
      <c r="H37" s="172"/>
      <c r="I37" s="172"/>
      <c r="J37" s="172"/>
      <c r="K37" s="172"/>
      <c r="L37" s="172"/>
      <c r="M37" s="172"/>
      <c r="N37" s="172"/>
      <c r="O37" s="172"/>
      <c r="P37" s="172"/>
      <c r="Q37" s="172"/>
      <c r="R37" s="172"/>
      <c r="S37" s="172"/>
      <c r="T37" s="172"/>
      <c r="U37" s="525"/>
      <c r="V37" s="526"/>
      <c r="W37" s="527"/>
      <c r="X37" s="525"/>
      <c r="Y37" s="526"/>
      <c r="Z37" s="526"/>
      <c r="AA37" s="526"/>
      <c r="AB37" s="526"/>
      <c r="AC37" s="526"/>
      <c r="AD37" s="526"/>
      <c r="AE37" s="526"/>
      <c r="AF37" s="526"/>
      <c r="AG37" s="526"/>
      <c r="AH37" s="527"/>
      <c r="AI37" s="68"/>
      <c r="AJ37" s="68"/>
      <c r="AK37" s="68"/>
    </row>
    <row r="38" spans="1:37" s="45" customFormat="1" ht="3.75" customHeight="1">
      <c r="A38" s="173"/>
      <c r="B38" s="174"/>
      <c r="C38" s="175"/>
      <c r="D38" s="176"/>
      <c r="E38" s="177"/>
      <c r="F38" s="177"/>
      <c r="G38" s="177"/>
      <c r="H38" s="177"/>
      <c r="I38" s="177"/>
      <c r="J38" s="177"/>
      <c r="K38" s="177"/>
      <c r="L38" s="177"/>
      <c r="M38" s="177"/>
      <c r="N38" s="177"/>
      <c r="O38" s="177"/>
      <c r="P38" s="177"/>
      <c r="Q38" s="177"/>
      <c r="R38" s="177"/>
      <c r="S38" s="177"/>
      <c r="T38" s="177"/>
      <c r="U38" s="519"/>
      <c r="V38" s="520"/>
      <c r="W38" s="521"/>
      <c r="X38" s="519"/>
      <c r="Y38" s="520"/>
      <c r="Z38" s="520"/>
      <c r="AA38" s="520"/>
      <c r="AB38" s="520"/>
      <c r="AC38" s="520"/>
      <c r="AD38" s="520"/>
      <c r="AE38" s="520"/>
      <c r="AF38" s="520"/>
      <c r="AG38" s="520"/>
      <c r="AH38" s="521"/>
      <c r="AI38" s="68"/>
      <c r="AJ38" s="68"/>
      <c r="AK38" s="68"/>
    </row>
    <row r="39" spans="1:37" s="45" customFormat="1" ht="19.5" customHeight="1">
      <c r="A39" s="165"/>
      <c r="B39" s="166"/>
      <c r="C39" s="164"/>
      <c r="D39" s="170"/>
      <c r="E39" s="494" t="str">
        <f>VLOOKUP("measurementsystemanalysisstudies",Translations!$A:$T,MATCH(PSW!AO7,Translations!A1:P1,0),0)</f>
        <v>MEASUREMENT SYSTEM ANALYSIS STUDIES (MSA)</v>
      </c>
      <c r="F39" s="494"/>
      <c r="G39" s="494"/>
      <c r="H39" s="494"/>
      <c r="I39" s="494"/>
      <c r="J39" s="494"/>
      <c r="K39" s="494"/>
      <c r="L39" s="494"/>
      <c r="M39" s="494"/>
      <c r="N39" s="494"/>
      <c r="O39" s="494"/>
      <c r="P39" s="494"/>
      <c r="Q39" s="494"/>
      <c r="R39" s="494"/>
      <c r="S39" s="494"/>
      <c r="T39" s="494"/>
      <c r="U39" s="522"/>
      <c r="V39" s="523"/>
      <c r="W39" s="524"/>
      <c r="X39" s="522"/>
      <c r="Y39" s="523"/>
      <c r="Z39" s="523"/>
      <c r="AA39" s="523"/>
      <c r="AB39" s="523"/>
      <c r="AC39" s="523"/>
      <c r="AD39" s="523"/>
      <c r="AE39" s="523"/>
      <c r="AF39" s="523"/>
      <c r="AG39" s="523"/>
      <c r="AH39" s="524"/>
      <c r="AI39" s="68"/>
      <c r="AJ39" s="68"/>
      <c r="AK39" s="68"/>
    </row>
    <row r="40" spans="1:37" s="45" customFormat="1" ht="3.75" customHeight="1">
      <c r="A40" s="165"/>
      <c r="B40" s="166"/>
      <c r="C40" s="171"/>
      <c r="D40" s="170"/>
      <c r="E40" s="172"/>
      <c r="F40" s="172"/>
      <c r="G40" s="172"/>
      <c r="H40" s="172"/>
      <c r="I40" s="172"/>
      <c r="J40" s="172"/>
      <c r="K40" s="172"/>
      <c r="L40" s="172"/>
      <c r="M40" s="172"/>
      <c r="N40" s="172"/>
      <c r="O40" s="172"/>
      <c r="P40" s="172"/>
      <c r="Q40" s="172"/>
      <c r="R40" s="172"/>
      <c r="S40" s="172"/>
      <c r="T40" s="172"/>
      <c r="U40" s="525"/>
      <c r="V40" s="526"/>
      <c r="W40" s="527"/>
      <c r="X40" s="525"/>
      <c r="Y40" s="526"/>
      <c r="Z40" s="526"/>
      <c r="AA40" s="526"/>
      <c r="AB40" s="526"/>
      <c r="AC40" s="526"/>
      <c r="AD40" s="526"/>
      <c r="AE40" s="526"/>
      <c r="AF40" s="526"/>
      <c r="AG40" s="526"/>
      <c r="AH40" s="527"/>
      <c r="AI40" s="68"/>
      <c r="AJ40" s="68"/>
      <c r="AK40" s="68"/>
    </row>
    <row r="41" spans="1:37" s="45" customFormat="1" ht="3.75" customHeight="1">
      <c r="A41" s="173"/>
      <c r="B41" s="174"/>
      <c r="C41" s="175"/>
      <c r="D41" s="176"/>
      <c r="E41" s="177"/>
      <c r="F41" s="177"/>
      <c r="G41" s="177"/>
      <c r="H41" s="177"/>
      <c r="I41" s="177"/>
      <c r="J41" s="177"/>
      <c r="K41" s="177"/>
      <c r="L41" s="177"/>
      <c r="M41" s="177"/>
      <c r="N41" s="177"/>
      <c r="O41" s="177"/>
      <c r="P41" s="177"/>
      <c r="Q41" s="177"/>
      <c r="R41" s="177"/>
      <c r="S41" s="177"/>
      <c r="T41" s="177"/>
      <c r="U41" s="519"/>
      <c r="V41" s="520"/>
      <c r="W41" s="521"/>
      <c r="X41" s="519"/>
      <c r="Y41" s="520"/>
      <c r="Z41" s="520"/>
      <c r="AA41" s="520"/>
      <c r="AB41" s="520"/>
      <c r="AC41" s="520"/>
      <c r="AD41" s="520"/>
      <c r="AE41" s="520"/>
      <c r="AF41" s="520"/>
      <c r="AG41" s="520"/>
      <c r="AH41" s="521"/>
      <c r="AI41" s="68"/>
      <c r="AJ41" s="68"/>
      <c r="AK41" s="68"/>
    </row>
    <row r="42" spans="1:37" s="45" customFormat="1" ht="19.5" customHeight="1">
      <c r="A42" s="165"/>
      <c r="B42" s="166"/>
      <c r="C42" s="164"/>
      <c r="D42" s="170"/>
      <c r="E42" s="494" t="str">
        <f>VLOOKUP("dimensionalresults",Translations!$A:$T,MATCH(PSW!AO7,Translations!A1:P1,0),0)</f>
        <v>DIMENSIONAL RESULTS</v>
      </c>
      <c r="F42" s="494"/>
      <c r="G42" s="494"/>
      <c r="H42" s="494"/>
      <c r="I42" s="494"/>
      <c r="J42" s="494"/>
      <c r="K42" s="494"/>
      <c r="L42" s="494"/>
      <c r="M42" s="494"/>
      <c r="N42" s="494"/>
      <c r="O42" s="494"/>
      <c r="P42" s="494"/>
      <c r="Q42" s="494"/>
      <c r="R42" s="494"/>
      <c r="S42" s="494"/>
      <c r="T42" s="494"/>
      <c r="U42" s="522"/>
      <c r="V42" s="523"/>
      <c r="W42" s="524"/>
      <c r="X42" s="522"/>
      <c r="Y42" s="523"/>
      <c r="Z42" s="523"/>
      <c r="AA42" s="523"/>
      <c r="AB42" s="523"/>
      <c r="AC42" s="523"/>
      <c r="AD42" s="523"/>
      <c r="AE42" s="523"/>
      <c r="AF42" s="523"/>
      <c r="AG42" s="523"/>
      <c r="AH42" s="524"/>
      <c r="AI42" s="68"/>
      <c r="AJ42" s="68"/>
      <c r="AK42" s="68"/>
    </row>
    <row r="43" spans="1:37" s="45" customFormat="1" ht="3.75" customHeight="1">
      <c r="A43" s="165"/>
      <c r="B43" s="166"/>
      <c r="C43" s="171"/>
      <c r="D43" s="170"/>
      <c r="E43" s="172"/>
      <c r="F43" s="172"/>
      <c r="G43" s="172"/>
      <c r="H43" s="172"/>
      <c r="I43" s="172"/>
      <c r="J43" s="172"/>
      <c r="K43" s="172"/>
      <c r="L43" s="172"/>
      <c r="M43" s="172"/>
      <c r="N43" s="172"/>
      <c r="O43" s="172"/>
      <c r="P43" s="172"/>
      <c r="Q43" s="172"/>
      <c r="R43" s="172"/>
      <c r="S43" s="172"/>
      <c r="T43" s="172"/>
      <c r="U43" s="525"/>
      <c r="V43" s="526"/>
      <c r="W43" s="527"/>
      <c r="X43" s="525"/>
      <c r="Y43" s="526"/>
      <c r="Z43" s="526"/>
      <c r="AA43" s="526"/>
      <c r="AB43" s="526"/>
      <c r="AC43" s="526"/>
      <c r="AD43" s="526"/>
      <c r="AE43" s="526"/>
      <c r="AF43" s="526"/>
      <c r="AG43" s="526"/>
      <c r="AH43" s="527"/>
      <c r="AI43" s="68"/>
      <c r="AJ43" s="68"/>
      <c r="AK43" s="68"/>
    </row>
    <row r="44" spans="1:37" s="45" customFormat="1" ht="3.75" customHeight="1">
      <c r="A44" s="173"/>
      <c r="B44" s="174"/>
      <c r="C44" s="175"/>
      <c r="D44" s="176"/>
      <c r="E44" s="177"/>
      <c r="F44" s="177"/>
      <c r="G44" s="177"/>
      <c r="H44" s="177"/>
      <c r="I44" s="177"/>
      <c r="J44" s="177"/>
      <c r="K44" s="177"/>
      <c r="L44" s="177"/>
      <c r="M44" s="177"/>
      <c r="N44" s="177"/>
      <c r="O44" s="177"/>
      <c r="P44" s="177"/>
      <c r="Q44" s="177"/>
      <c r="R44" s="177"/>
      <c r="S44" s="177"/>
      <c r="T44" s="177"/>
      <c r="U44" s="519"/>
      <c r="V44" s="520"/>
      <c r="W44" s="521"/>
      <c r="X44" s="519"/>
      <c r="Y44" s="520"/>
      <c r="Z44" s="520"/>
      <c r="AA44" s="520"/>
      <c r="AB44" s="520"/>
      <c r="AC44" s="520"/>
      <c r="AD44" s="520"/>
      <c r="AE44" s="520"/>
      <c r="AF44" s="520"/>
      <c r="AG44" s="520"/>
      <c r="AH44" s="521"/>
      <c r="AI44" s="68"/>
      <c r="AJ44" s="68"/>
      <c r="AK44" s="68"/>
    </row>
    <row r="45" spans="1:37" s="45" customFormat="1" ht="19.5" customHeight="1">
      <c r="A45" s="165"/>
      <c r="B45" s="166"/>
      <c r="C45" s="164"/>
      <c r="D45" s="170"/>
      <c r="E45" s="528" t="str">
        <f>VLOOKUP("recordsofmaterialperformancetestresults",Translations!$A:$T,MATCH(PSW!AO7,Translations!A1:P1,0),0)</f>
        <v>RECORDS OF MATERIAL / PERFORMANCE TEST RESULTS</v>
      </c>
      <c r="F45" s="528"/>
      <c r="G45" s="528"/>
      <c r="H45" s="528"/>
      <c r="I45" s="528"/>
      <c r="J45" s="528"/>
      <c r="K45" s="528"/>
      <c r="L45" s="528"/>
      <c r="M45" s="528"/>
      <c r="N45" s="528"/>
      <c r="O45" s="528"/>
      <c r="P45" s="528"/>
      <c r="Q45" s="528"/>
      <c r="R45" s="528"/>
      <c r="S45" s="528"/>
      <c r="T45" s="528"/>
      <c r="U45" s="522"/>
      <c r="V45" s="523"/>
      <c r="W45" s="524"/>
      <c r="X45" s="522"/>
      <c r="Y45" s="523"/>
      <c r="Z45" s="523"/>
      <c r="AA45" s="523"/>
      <c r="AB45" s="523"/>
      <c r="AC45" s="523"/>
      <c r="AD45" s="523"/>
      <c r="AE45" s="523"/>
      <c r="AF45" s="523"/>
      <c r="AG45" s="523"/>
      <c r="AH45" s="524"/>
      <c r="AI45" s="68"/>
      <c r="AJ45" s="68"/>
      <c r="AK45" s="68"/>
    </row>
    <row r="46" spans="1:37" s="45" customFormat="1" ht="3.75" customHeight="1">
      <c r="A46" s="165"/>
      <c r="B46" s="166"/>
      <c r="C46" s="171"/>
      <c r="D46" s="170"/>
      <c r="E46" s="181"/>
      <c r="F46" s="181"/>
      <c r="G46" s="181"/>
      <c r="H46" s="181"/>
      <c r="I46" s="181"/>
      <c r="J46" s="181"/>
      <c r="K46" s="181"/>
      <c r="L46" s="181"/>
      <c r="M46" s="181"/>
      <c r="N46" s="181"/>
      <c r="O46" s="181"/>
      <c r="P46" s="181"/>
      <c r="Q46" s="181"/>
      <c r="R46" s="181"/>
      <c r="S46" s="181"/>
      <c r="T46" s="181"/>
      <c r="U46" s="525"/>
      <c r="V46" s="526"/>
      <c r="W46" s="527"/>
      <c r="X46" s="525"/>
      <c r="Y46" s="526"/>
      <c r="Z46" s="526"/>
      <c r="AA46" s="526"/>
      <c r="AB46" s="526"/>
      <c r="AC46" s="526"/>
      <c r="AD46" s="526"/>
      <c r="AE46" s="526"/>
      <c r="AF46" s="526"/>
      <c r="AG46" s="526"/>
      <c r="AH46" s="527"/>
      <c r="AI46" s="68"/>
      <c r="AJ46" s="68"/>
      <c r="AK46" s="68"/>
    </row>
    <row r="47" spans="1:37" s="45" customFormat="1" ht="3.75" customHeight="1">
      <c r="A47" s="173"/>
      <c r="B47" s="174"/>
      <c r="C47" s="175"/>
      <c r="D47" s="176"/>
      <c r="E47" s="182"/>
      <c r="F47" s="182"/>
      <c r="G47" s="182"/>
      <c r="H47" s="182"/>
      <c r="I47" s="182"/>
      <c r="J47" s="182"/>
      <c r="K47" s="182"/>
      <c r="L47" s="182"/>
      <c r="M47" s="182"/>
      <c r="N47" s="182"/>
      <c r="O47" s="182"/>
      <c r="P47" s="182"/>
      <c r="Q47" s="182"/>
      <c r="R47" s="182"/>
      <c r="S47" s="182"/>
      <c r="T47" s="182"/>
      <c r="U47" s="519"/>
      <c r="V47" s="520"/>
      <c r="W47" s="521"/>
      <c r="X47" s="519"/>
      <c r="Y47" s="520"/>
      <c r="Z47" s="520"/>
      <c r="AA47" s="520"/>
      <c r="AB47" s="520"/>
      <c r="AC47" s="520"/>
      <c r="AD47" s="520"/>
      <c r="AE47" s="520"/>
      <c r="AF47" s="520"/>
      <c r="AG47" s="520"/>
      <c r="AH47" s="521"/>
      <c r="AI47" s="68"/>
      <c r="AJ47" s="68"/>
      <c r="AK47" s="68"/>
    </row>
    <row r="48" spans="1:37" s="45" customFormat="1" ht="19.5" customHeight="1">
      <c r="A48" s="165"/>
      <c r="B48" s="166"/>
      <c r="C48" s="164"/>
      <c r="D48" s="170"/>
      <c r="E48" s="494" t="str">
        <f>VLOOKUP("initialprocessstudies",Translations!$A:$T,MATCH(PSW!AO7,Translations!A1:P1,0),0)</f>
        <v>INITIAL PROCESS STUDIES</v>
      </c>
      <c r="F48" s="494"/>
      <c r="G48" s="494"/>
      <c r="H48" s="494"/>
      <c r="I48" s="494"/>
      <c r="J48" s="494"/>
      <c r="K48" s="494"/>
      <c r="L48" s="494"/>
      <c r="M48" s="494"/>
      <c r="N48" s="494"/>
      <c r="O48" s="494"/>
      <c r="P48" s="494"/>
      <c r="Q48" s="494"/>
      <c r="R48" s="494"/>
      <c r="S48" s="494"/>
      <c r="T48" s="494"/>
      <c r="U48" s="522"/>
      <c r="V48" s="523"/>
      <c r="W48" s="524"/>
      <c r="X48" s="522"/>
      <c r="Y48" s="523"/>
      <c r="Z48" s="523"/>
      <c r="AA48" s="523"/>
      <c r="AB48" s="523"/>
      <c r="AC48" s="523"/>
      <c r="AD48" s="523"/>
      <c r="AE48" s="523"/>
      <c r="AF48" s="523"/>
      <c r="AG48" s="523"/>
      <c r="AH48" s="524"/>
      <c r="AI48" s="68"/>
      <c r="AJ48" s="68"/>
      <c r="AK48" s="68"/>
    </row>
    <row r="49" spans="1:37" s="45" customFormat="1" ht="3.75" customHeight="1">
      <c r="A49" s="165"/>
      <c r="B49" s="166"/>
      <c r="C49" s="171"/>
      <c r="D49" s="170"/>
      <c r="E49" s="172"/>
      <c r="F49" s="172"/>
      <c r="G49" s="172"/>
      <c r="H49" s="172"/>
      <c r="I49" s="172"/>
      <c r="J49" s="172"/>
      <c r="K49" s="172"/>
      <c r="L49" s="172"/>
      <c r="M49" s="172"/>
      <c r="N49" s="172"/>
      <c r="O49" s="172"/>
      <c r="P49" s="172"/>
      <c r="Q49" s="172"/>
      <c r="R49" s="172"/>
      <c r="S49" s="172"/>
      <c r="T49" s="172"/>
      <c r="U49" s="525"/>
      <c r="V49" s="526"/>
      <c r="W49" s="527"/>
      <c r="X49" s="525"/>
      <c r="Y49" s="526"/>
      <c r="Z49" s="526"/>
      <c r="AA49" s="526"/>
      <c r="AB49" s="526"/>
      <c r="AC49" s="526"/>
      <c r="AD49" s="526"/>
      <c r="AE49" s="526"/>
      <c r="AF49" s="526"/>
      <c r="AG49" s="526"/>
      <c r="AH49" s="527"/>
      <c r="AI49" s="68"/>
      <c r="AJ49" s="68"/>
      <c r="AK49" s="68"/>
    </row>
    <row r="50" spans="1:37" s="45" customFormat="1" ht="3.75" customHeight="1">
      <c r="A50" s="173"/>
      <c r="B50" s="174"/>
      <c r="C50" s="175"/>
      <c r="D50" s="176"/>
      <c r="E50" s="177"/>
      <c r="F50" s="177"/>
      <c r="G50" s="177"/>
      <c r="H50" s="177"/>
      <c r="I50" s="177"/>
      <c r="J50" s="177"/>
      <c r="K50" s="177"/>
      <c r="L50" s="177"/>
      <c r="M50" s="177"/>
      <c r="N50" s="177"/>
      <c r="O50" s="177"/>
      <c r="P50" s="177"/>
      <c r="Q50" s="177"/>
      <c r="R50" s="177"/>
      <c r="S50" s="177"/>
      <c r="T50" s="177"/>
      <c r="U50" s="519"/>
      <c r="V50" s="520"/>
      <c r="W50" s="521"/>
      <c r="X50" s="519"/>
      <c r="Y50" s="520"/>
      <c r="Z50" s="520"/>
      <c r="AA50" s="520"/>
      <c r="AB50" s="520"/>
      <c r="AC50" s="520"/>
      <c r="AD50" s="520"/>
      <c r="AE50" s="520"/>
      <c r="AF50" s="520"/>
      <c r="AG50" s="520"/>
      <c r="AH50" s="521"/>
      <c r="AI50" s="68"/>
      <c r="AJ50" s="68"/>
      <c r="AK50" s="68"/>
    </row>
    <row r="51" spans="1:37" s="45" customFormat="1" ht="19.5" customHeight="1">
      <c r="A51" s="165"/>
      <c r="B51" s="166"/>
      <c r="C51" s="164"/>
      <c r="D51" s="170"/>
      <c r="E51" s="494" t="str">
        <f>VLOOKUP("qualifiedlaboratorydocumentation",Translations!$A:$T,MATCH(PSW!AO7,Translations!A1:P1,0),0)</f>
        <v>QUALIFIED LABORATORY DOCUMENTATION</v>
      </c>
      <c r="F51" s="494"/>
      <c r="G51" s="494"/>
      <c r="H51" s="494"/>
      <c r="I51" s="494"/>
      <c r="J51" s="494"/>
      <c r="K51" s="494"/>
      <c r="L51" s="494"/>
      <c r="M51" s="494"/>
      <c r="N51" s="494"/>
      <c r="O51" s="494"/>
      <c r="P51" s="494"/>
      <c r="Q51" s="494"/>
      <c r="R51" s="494"/>
      <c r="S51" s="494"/>
      <c r="T51" s="494"/>
      <c r="U51" s="522"/>
      <c r="V51" s="523"/>
      <c r="W51" s="524"/>
      <c r="X51" s="522"/>
      <c r="Y51" s="523"/>
      <c r="Z51" s="523"/>
      <c r="AA51" s="523"/>
      <c r="AB51" s="523"/>
      <c r="AC51" s="523"/>
      <c r="AD51" s="523"/>
      <c r="AE51" s="523"/>
      <c r="AF51" s="523"/>
      <c r="AG51" s="523"/>
      <c r="AH51" s="524"/>
      <c r="AI51" s="68"/>
      <c r="AJ51" s="68"/>
      <c r="AK51" s="68"/>
    </row>
    <row r="52" spans="1:37" s="45" customFormat="1" ht="3.75" customHeight="1">
      <c r="A52" s="165"/>
      <c r="B52" s="166"/>
      <c r="C52" s="171"/>
      <c r="D52" s="170"/>
      <c r="E52" s="172"/>
      <c r="F52" s="172"/>
      <c r="G52" s="172"/>
      <c r="H52" s="172"/>
      <c r="I52" s="172"/>
      <c r="J52" s="172"/>
      <c r="K52" s="172"/>
      <c r="L52" s="172"/>
      <c r="M52" s="172"/>
      <c r="N52" s="172"/>
      <c r="O52" s="172"/>
      <c r="P52" s="172"/>
      <c r="Q52" s="172"/>
      <c r="R52" s="172"/>
      <c r="S52" s="172"/>
      <c r="T52" s="172"/>
      <c r="U52" s="525"/>
      <c r="V52" s="526"/>
      <c r="W52" s="527"/>
      <c r="X52" s="525"/>
      <c r="Y52" s="526"/>
      <c r="Z52" s="526"/>
      <c r="AA52" s="526"/>
      <c r="AB52" s="526"/>
      <c r="AC52" s="526"/>
      <c r="AD52" s="526"/>
      <c r="AE52" s="526"/>
      <c r="AF52" s="526"/>
      <c r="AG52" s="526"/>
      <c r="AH52" s="527"/>
      <c r="AI52" s="68"/>
      <c r="AJ52" s="68"/>
      <c r="AK52" s="68"/>
    </row>
    <row r="53" spans="1:37" s="45" customFormat="1" ht="3.75" customHeight="1">
      <c r="A53" s="173"/>
      <c r="B53" s="174"/>
      <c r="C53" s="175"/>
      <c r="D53" s="176"/>
      <c r="E53" s="177"/>
      <c r="F53" s="177"/>
      <c r="G53" s="177"/>
      <c r="H53" s="177"/>
      <c r="I53" s="177"/>
      <c r="J53" s="177"/>
      <c r="K53" s="177"/>
      <c r="L53" s="177"/>
      <c r="M53" s="177"/>
      <c r="N53" s="177"/>
      <c r="O53" s="177"/>
      <c r="P53" s="177"/>
      <c r="Q53" s="177"/>
      <c r="R53" s="177"/>
      <c r="S53" s="177"/>
      <c r="T53" s="177"/>
      <c r="U53" s="519"/>
      <c r="V53" s="520"/>
      <c r="W53" s="521"/>
      <c r="X53" s="519"/>
      <c r="Y53" s="520"/>
      <c r="Z53" s="520"/>
      <c r="AA53" s="520"/>
      <c r="AB53" s="520"/>
      <c r="AC53" s="520"/>
      <c r="AD53" s="520"/>
      <c r="AE53" s="520"/>
      <c r="AF53" s="520"/>
      <c r="AG53" s="520"/>
      <c r="AH53" s="521"/>
      <c r="AI53" s="68"/>
      <c r="AJ53" s="68"/>
      <c r="AK53" s="68"/>
    </row>
    <row r="54" spans="1:37" s="45" customFormat="1" ht="19.5" customHeight="1">
      <c r="A54" s="165"/>
      <c r="B54" s="166"/>
      <c r="C54" s="164"/>
      <c r="D54" s="170"/>
      <c r="E54" s="494" t="str">
        <f>VLOOKUP("appearanceapprovalreportaar",Translations!$A:$T,MATCH(PSW!AO7,Translations!A1:P1,0),0)</f>
        <v>APPEARANCE APPROVAL REPORT (AAR)</v>
      </c>
      <c r="F54" s="494"/>
      <c r="G54" s="494"/>
      <c r="H54" s="494"/>
      <c r="I54" s="494"/>
      <c r="J54" s="494"/>
      <c r="K54" s="494"/>
      <c r="L54" s="494"/>
      <c r="M54" s="494"/>
      <c r="N54" s="494"/>
      <c r="O54" s="494"/>
      <c r="P54" s="494"/>
      <c r="Q54" s="494"/>
      <c r="R54" s="494"/>
      <c r="S54" s="494"/>
      <c r="T54" s="494"/>
      <c r="U54" s="522"/>
      <c r="V54" s="523"/>
      <c r="W54" s="524"/>
      <c r="X54" s="522"/>
      <c r="Y54" s="523"/>
      <c r="Z54" s="523"/>
      <c r="AA54" s="523"/>
      <c r="AB54" s="523"/>
      <c r="AC54" s="523"/>
      <c r="AD54" s="523"/>
      <c r="AE54" s="523"/>
      <c r="AF54" s="523"/>
      <c r="AG54" s="523"/>
      <c r="AH54" s="524"/>
      <c r="AI54" s="68"/>
      <c r="AJ54" s="68"/>
      <c r="AK54" s="68"/>
    </row>
    <row r="55" spans="1:37" s="45" customFormat="1" ht="3.75" customHeight="1">
      <c r="A55" s="183"/>
      <c r="B55" s="184"/>
      <c r="C55" s="185"/>
      <c r="D55" s="178"/>
      <c r="E55" s="186"/>
      <c r="F55" s="186"/>
      <c r="G55" s="186"/>
      <c r="H55" s="186"/>
      <c r="I55" s="186"/>
      <c r="J55" s="186"/>
      <c r="K55" s="186"/>
      <c r="L55" s="186"/>
      <c r="M55" s="186"/>
      <c r="N55" s="186"/>
      <c r="O55" s="186"/>
      <c r="P55" s="186"/>
      <c r="Q55" s="186"/>
      <c r="R55" s="186"/>
      <c r="S55" s="186"/>
      <c r="T55" s="186"/>
      <c r="U55" s="525"/>
      <c r="V55" s="526"/>
      <c r="W55" s="527"/>
      <c r="X55" s="525"/>
      <c r="Y55" s="526"/>
      <c r="Z55" s="526"/>
      <c r="AA55" s="526"/>
      <c r="AB55" s="526"/>
      <c r="AC55" s="526"/>
      <c r="AD55" s="526"/>
      <c r="AE55" s="526"/>
      <c r="AF55" s="526"/>
      <c r="AG55" s="526"/>
      <c r="AH55" s="527"/>
      <c r="AI55" s="68"/>
      <c r="AJ55" s="68"/>
      <c r="AK55" s="68"/>
    </row>
    <row r="56" spans="1:37" s="45" customFormat="1" ht="3.75" customHeight="1">
      <c r="A56" s="165"/>
      <c r="B56" s="166"/>
      <c r="C56" s="171"/>
      <c r="D56" s="170"/>
      <c r="E56" s="172"/>
      <c r="F56" s="172"/>
      <c r="G56" s="172"/>
      <c r="H56" s="172"/>
      <c r="I56" s="172"/>
      <c r="J56" s="172"/>
      <c r="K56" s="172"/>
      <c r="L56" s="172"/>
      <c r="M56" s="172"/>
      <c r="N56" s="172"/>
      <c r="O56" s="172"/>
      <c r="P56" s="172"/>
      <c r="Q56" s="172"/>
      <c r="R56" s="172"/>
      <c r="S56" s="172"/>
      <c r="T56" s="172"/>
      <c r="U56" s="519"/>
      <c r="V56" s="520"/>
      <c r="W56" s="521"/>
      <c r="X56" s="519"/>
      <c r="Y56" s="520"/>
      <c r="Z56" s="520"/>
      <c r="AA56" s="520"/>
      <c r="AB56" s="520"/>
      <c r="AC56" s="520"/>
      <c r="AD56" s="520"/>
      <c r="AE56" s="520"/>
      <c r="AF56" s="520"/>
      <c r="AG56" s="520"/>
      <c r="AH56" s="521"/>
      <c r="AI56" s="68"/>
      <c r="AJ56" s="68"/>
      <c r="AK56" s="68"/>
    </row>
    <row r="57" spans="1:37" s="45" customFormat="1" ht="19.5" customHeight="1">
      <c r="A57" s="165"/>
      <c r="B57" s="166"/>
      <c r="C57" s="164"/>
      <c r="D57" s="170"/>
      <c r="E57" s="494" t="str">
        <f>VLOOKUP("sampleproductionparts",Translations!$A:$T,MATCH(PSW!AO7,Translations!A1:P1,0),0)</f>
        <v>SAMPLE PRODUCTION PARTS</v>
      </c>
      <c r="F57" s="494"/>
      <c r="G57" s="494"/>
      <c r="H57" s="494"/>
      <c r="I57" s="494"/>
      <c r="J57" s="494"/>
      <c r="K57" s="494"/>
      <c r="L57" s="494"/>
      <c r="M57" s="494"/>
      <c r="N57" s="494"/>
      <c r="O57" s="494"/>
      <c r="P57" s="494"/>
      <c r="Q57" s="494"/>
      <c r="R57" s="494"/>
      <c r="S57" s="494"/>
      <c r="T57" s="494"/>
      <c r="U57" s="522"/>
      <c r="V57" s="523"/>
      <c r="W57" s="524"/>
      <c r="X57" s="522"/>
      <c r="Y57" s="523"/>
      <c r="Z57" s="523"/>
      <c r="AA57" s="523"/>
      <c r="AB57" s="523"/>
      <c r="AC57" s="523"/>
      <c r="AD57" s="523"/>
      <c r="AE57" s="523"/>
      <c r="AF57" s="523"/>
      <c r="AG57" s="523"/>
      <c r="AH57" s="524"/>
      <c r="AI57" s="68"/>
      <c r="AJ57" s="68"/>
      <c r="AK57" s="68"/>
    </row>
    <row r="58" spans="1:37" s="45" customFormat="1" ht="3.75" customHeight="1">
      <c r="A58" s="165"/>
      <c r="B58" s="166"/>
      <c r="C58" s="171"/>
      <c r="D58" s="170"/>
      <c r="E58" s="172"/>
      <c r="F58" s="172"/>
      <c r="G58" s="172"/>
      <c r="H58" s="172"/>
      <c r="I58" s="172"/>
      <c r="J58" s="172"/>
      <c r="K58" s="172"/>
      <c r="L58" s="172"/>
      <c r="M58" s="172"/>
      <c r="N58" s="172"/>
      <c r="O58" s="172"/>
      <c r="P58" s="172"/>
      <c r="Q58" s="172"/>
      <c r="R58" s="172"/>
      <c r="S58" s="172"/>
      <c r="T58" s="172"/>
      <c r="U58" s="525"/>
      <c r="V58" s="526"/>
      <c r="W58" s="527"/>
      <c r="X58" s="525"/>
      <c r="Y58" s="526"/>
      <c r="Z58" s="526"/>
      <c r="AA58" s="526"/>
      <c r="AB58" s="526"/>
      <c r="AC58" s="526"/>
      <c r="AD58" s="526"/>
      <c r="AE58" s="526"/>
      <c r="AF58" s="526"/>
      <c r="AG58" s="526"/>
      <c r="AH58" s="527"/>
      <c r="AI58" s="68"/>
      <c r="AJ58" s="68"/>
      <c r="AK58" s="68"/>
    </row>
    <row r="59" spans="1:37" s="45" customFormat="1" ht="3.75" customHeight="1">
      <c r="A59" s="173"/>
      <c r="B59" s="174"/>
      <c r="C59" s="175"/>
      <c r="D59" s="176"/>
      <c r="E59" s="177"/>
      <c r="F59" s="177"/>
      <c r="G59" s="177"/>
      <c r="H59" s="177"/>
      <c r="I59" s="177"/>
      <c r="J59" s="177"/>
      <c r="K59" s="177"/>
      <c r="L59" s="177"/>
      <c r="M59" s="177"/>
      <c r="N59" s="177"/>
      <c r="O59" s="177"/>
      <c r="P59" s="177"/>
      <c r="Q59" s="177"/>
      <c r="R59" s="177"/>
      <c r="S59" s="177"/>
      <c r="T59" s="177"/>
      <c r="U59" s="519"/>
      <c r="V59" s="520"/>
      <c r="W59" s="521"/>
      <c r="X59" s="519"/>
      <c r="Y59" s="520"/>
      <c r="Z59" s="520"/>
      <c r="AA59" s="520"/>
      <c r="AB59" s="520"/>
      <c r="AC59" s="520"/>
      <c r="AD59" s="520"/>
      <c r="AE59" s="520"/>
      <c r="AF59" s="520"/>
      <c r="AG59" s="520"/>
      <c r="AH59" s="521"/>
      <c r="AI59" s="68"/>
      <c r="AJ59" s="68"/>
      <c r="AK59" s="68"/>
    </row>
    <row r="60" spans="1:37" s="45" customFormat="1" ht="19.5" customHeight="1">
      <c r="A60" s="165"/>
      <c r="B60" s="166"/>
      <c r="C60" s="164"/>
      <c r="D60" s="170"/>
      <c r="E60" s="494" t="str">
        <f>VLOOKUP("mastersample",Translations!$A:$T,MATCH(PSW!AO7,Translations!A1:P1,0),0)</f>
        <v>MASTER SAMPLE</v>
      </c>
      <c r="F60" s="494"/>
      <c r="G60" s="494"/>
      <c r="H60" s="494"/>
      <c r="I60" s="494"/>
      <c r="J60" s="494"/>
      <c r="K60" s="494"/>
      <c r="L60" s="494"/>
      <c r="M60" s="494"/>
      <c r="N60" s="494"/>
      <c r="O60" s="494"/>
      <c r="P60" s="494"/>
      <c r="Q60" s="494"/>
      <c r="R60" s="494"/>
      <c r="S60" s="494"/>
      <c r="T60" s="494"/>
      <c r="U60" s="522"/>
      <c r="V60" s="523"/>
      <c r="W60" s="524"/>
      <c r="X60" s="522"/>
      <c r="Y60" s="523"/>
      <c r="Z60" s="523"/>
      <c r="AA60" s="523"/>
      <c r="AB60" s="523"/>
      <c r="AC60" s="523"/>
      <c r="AD60" s="523"/>
      <c r="AE60" s="523"/>
      <c r="AF60" s="523"/>
      <c r="AG60" s="523"/>
      <c r="AH60" s="524"/>
      <c r="AI60" s="68"/>
      <c r="AJ60" s="68"/>
      <c r="AK60" s="68"/>
    </row>
    <row r="61" spans="1:37" s="45" customFormat="1" ht="3.75" customHeight="1">
      <c r="A61" s="183"/>
      <c r="B61" s="184"/>
      <c r="C61" s="185"/>
      <c r="D61" s="178"/>
      <c r="E61" s="186"/>
      <c r="F61" s="186"/>
      <c r="G61" s="186"/>
      <c r="H61" s="186"/>
      <c r="I61" s="186"/>
      <c r="J61" s="186"/>
      <c r="K61" s="186"/>
      <c r="L61" s="186"/>
      <c r="M61" s="186"/>
      <c r="N61" s="186"/>
      <c r="O61" s="186"/>
      <c r="P61" s="186"/>
      <c r="Q61" s="186"/>
      <c r="R61" s="186"/>
      <c r="S61" s="186"/>
      <c r="T61" s="186"/>
      <c r="U61" s="525"/>
      <c r="V61" s="526"/>
      <c r="W61" s="527"/>
      <c r="X61" s="525"/>
      <c r="Y61" s="526"/>
      <c r="Z61" s="526"/>
      <c r="AA61" s="526"/>
      <c r="AB61" s="526"/>
      <c r="AC61" s="526"/>
      <c r="AD61" s="526"/>
      <c r="AE61" s="526"/>
      <c r="AF61" s="526"/>
      <c r="AG61" s="526"/>
      <c r="AH61" s="527"/>
      <c r="AI61" s="68"/>
      <c r="AJ61" s="68"/>
      <c r="AK61" s="68"/>
    </row>
    <row r="62" spans="1:37" s="45" customFormat="1" ht="3.75" customHeight="1">
      <c r="A62" s="165"/>
      <c r="B62" s="166"/>
      <c r="C62" s="171"/>
      <c r="D62" s="170"/>
      <c r="E62" s="172"/>
      <c r="F62" s="172"/>
      <c r="G62" s="172"/>
      <c r="H62" s="172"/>
      <c r="I62" s="172"/>
      <c r="J62" s="172"/>
      <c r="K62" s="172"/>
      <c r="L62" s="172"/>
      <c r="M62" s="172"/>
      <c r="N62" s="172"/>
      <c r="O62" s="172"/>
      <c r="P62" s="172"/>
      <c r="Q62" s="172"/>
      <c r="R62" s="172"/>
      <c r="S62" s="172"/>
      <c r="T62" s="172"/>
      <c r="U62" s="519"/>
      <c r="V62" s="520"/>
      <c r="W62" s="521"/>
      <c r="X62" s="519"/>
      <c r="Y62" s="520"/>
      <c r="Z62" s="520"/>
      <c r="AA62" s="520"/>
      <c r="AB62" s="520"/>
      <c r="AC62" s="520"/>
      <c r="AD62" s="520"/>
      <c r="AE62" s="520"/>
      <c r="AF62" s="520"/>
      <c r="AG62" s="520"/>
      <c r="AH62" s="521"/>
      <c r="AI62" s="68"/>
      <c r="AJ62" s="68"/>
      <c r="AK62" s="68"/>
    </row>
    <row r="63" spans="1:37" s="45" customFormat="1" ht="19.5" customHeight="1">
      <c r="A63" s="165"/>
      <c r="B63" s="166"/>
      <c r="C63" s="164"/>
      <c r="D63" s="170"/>
      <c r="E63" s="494" t="str">
        <f>VLOOKUP("checkingaids",Translations!$A:$T,MATCH(PSW!AO7,Translations!A1:P1,0),0)</f>
        <v>CHECKING AIDS</v>
      </c>
      <c r="F63" s="494"/>
      <c r="G63" s="494"/>
      <c r="H63" s="494"/>
      <c r="I63" s="494"/>
      <c r="J63" s="494"/>
      <c r="K63" s="494"/>
      <c r="L63" s="494"/>
      <c r="M63" s="494"/>
      <c r="N63" s="494"/>
      <c r="O63" s="494"/>
      <c r="P63" s="494"/>
      <c r="Q63" s="494"/>
      <c r="R63" s="494"/>
      <c r="S63" s="494"/>
      <c r="T63" s="494"/>
      <c r="U63" s="522"/>
      <c r="V63" s="523"/>
      <c r="W63" s="524"/>
      <c r="X63" s="522"/>
      <c r="Y63" s="523"/>
      <c r="Z63" s="523"/>
      <c r="AA63" s="523"/>
      <c r="AB63" s="523"/>
      <c r="AC63" s="523"/>
      <c r="AD63" s="523"/>
      <c r="AE63" s="523"/>
      <c r="AF63" s="523"/>
      <c r="AG63" s="523"/>
      <c r="AH63" s="524"/>
      <c r="AI63" s="68"/>
      <c r="AJ63" s="68"/>
      <c r="AK63" s="68"/>
    </row>
    <row r="64" spans="1:37" s="45" customFormat="1" ht="3.75" customHeight="1">
      <c r="A64" s="183"/>
      <c r="B64" s="184"/>
      <c r="C64" s="185"/>
      <c r="D64" s="178"/>
      <c r="E64" s="186"/>
      <c r="F64" s="186"/>
      <c r="G64" s="186"/>
      <c r="H64" s="186"/>
      <c r="I64" s="186"/>
      <c r="J64" s="186"/>
      <c r="K64" s="186"/>
      <c r="L64" s="186"/>
      <c r="M64" s="186"/>
      <c r="N64" s="186"/>
      <c r="O64" s="186"/>
      <c r="P64" s="186"/>
      <c r="Q64" s="186"/>
      <c r="R64" s="186"/>
      <c r="S64" s="186"/>
      <c r="T64" s="186"/>
      <c r="U64" s="525"/>
      <c r="V64" s="526"/>
      <c r="W64" s="527"/>
      <c r="X64" s="525"/>
      <c r="Y64" s="526"/>
      <c r="Z64" s="526"/>
      <c r="AA64" s="526"/>
      <c r="AB64" s="526"/>
      <c r="AC64" s="526"/>
      <c r="AD64" s="526"/>
      <c r="AE64" s="526"/>
      <c r="AF64" s="526"/>
      <c r="AG64" s="526"/>
      <c r="AH64" s="527"/>
      <c r="AI64" s="68"/>
      <c r="AJ64" s="68"/>
      <c r="AK64" s="68"/>
    </row>
    <row r="65" spans="1:37" s="45" customFormat="1" ht="1.5" customHeight="1">
      <c r="A65" s="165"/>
      <c r="B65" s="166"/>
      <c r="C65" s="171"/>
      <c r="D65" s="170"/>
      <c r="E65" s="172"/>
      <c r="F65" s="172"/>
      <c r="G65" s="172"/>
      <c r="H65" s="172"/>
      <c r="I65" s="172"/>
      <c r="J65" s="172"/>
      <c r="K65" s="172"/>
      <c r="L65" s="172"/>
      <c r="M65" s="172"/>
      <c r="N65" s="172"/>
      <c r="O65" s="172"/>
      <c r="P65" s="172"/>
      <c r="Q65" s="172"/>
      <c r="R65" s="172"/>
      <c r="S65" s="172"/>
      <c r="T65" s="172"/>
      <c r="U65" s="519"/>
      <c r="V65" s="520"/>
      <c r="W65" s="521"/>
      <c r="X65" s="519"/>
      <c r="Y65" s="520"/>
      <c r="Z65" s="520"/>
      <c r="AA65" s="520"/>
      <c r="AB65" s="520"/>
      <c r="AC65" s="520"/>
      <c r="AD65" s="520"/>
      <c r="AE65" s="520"/>
      <c r="AF65" s="520"/>
      <c r="AG65" s="520"/>
      <c r="AH65" s="521"/>
      <c r="AI65" s="68"/>
      <c r="AJ65" s="68"/>
      <c r="AK65" s="68"/>
    </row>
    <row r="66" spans="1:37" s="45" customFormat="1" ht="2.25" customHeight="1">
      <c r="A66" s="165"/>
      <c r="B66" s="166"/>
      <c r="C66" s="171"/>
      <c r="D66" s="170"/>
      <c r="E66" s="528" t="str">
        <f>VLOOKUP("customer-specificrequirements",Translations!$A:$T,MATCH(PSW!AO7,Translations!A1:P1,0),0)</f>
        <v>CUSTOMER SPECIFIC REQUIREMENTS</v>
      </c>
      <c r="F66" s="528"/>
      <c r="G66" s="528"/>
      <c r="H66" s="528"/>
      <c r="I66" s="528"/>
      <c r="J66" s="528"/>
      <c r="K66" s="528"/>
      <c r="L66" s="528"/>
      <c r="M66" s="528"/>
      <c r="N66" s="528"/>
      <c r="O66" s="528"/>
      <c r="P66" s="528"/>
      <c r="Q66" s="528"/>
      <c r="R66" s="528"/>
      <c r="S66" s="528"/>
      <c r="T66" s="529"/>
      <c r="U66" s="522"/>
      <c r="V66" s="523"/>
      <c r="W66" s="524"/>
      <c r="X66" s="522"/>
      <c r="Y66" s="523"/>
      <c r="Z66" s="523"/>
      <c r="AA66" s="523"/>
      <c r="AB66" s="523"/>
      <c r="AC66" s="523"/>
      <c r="AD66" s="523"/>
      <c r="AE66" s="523"/>
      <c r="AF66" s="523"/>
      <c r="AG66" s="523"/>
      <c r="AH66" s="524"/>
      <c r="AI66" s="68"/>
      <c r="AJ66" s="68"/>
      <c r="AK66" s="68"/>
    </row>
    <row r="67" spans="1:37" s="45" customFormat="1" ht="19.5" customHeight="1">
      <c r="A67" s="165"/>
      <c r="B67" s="166"/>
      <c r="C67" s="164"/>
      <c r="D67" s="170"/>
      <c r="E67" s="528"/>
      <c r="F67" s="528"/>
      <c r="G67" s="528"/>
      <c r="H67" s="528"/>
      <c r="I67" s="528"/>
      <c r="J67" s="528"/>
      <c r="K67" s="528"/>
      <c r="L67" s="528"/>
      <c r="M67" s="528"/>
      <c r="N67" s="528"/>
      <c r="O67" s="528"/>
      <c r="P67" s="528"/>
      <c r="Q67" s="528"/>
      <c r="R67" s="528"/>
      <c r="S67" s="528"/>
      <c r="T67" s="529"/>
      <c r="U67" s="522"/>
      <c r="V67" s="523"/>
      <c r="W67" s="524"/>
      <c r="X67" s="522"/>
      <c r="Y67" s="523"/>
      <c r="Z67" s="523"/>
      <c r="AA67" s="523"/>
      <c r="AB67" s="523"/>
      <c r="AC67" s="523"/>
      <c r="AD67" s="523"/>
      <c r="AE67" s="523"/>
      <c r="AF67" s="523"/>
      <c r="AG67" s="523"/>
      <c r="AH67" s="524"/>
      <c r="AI67" s="68"/>
      <c r="AJ67" s="68"/>
      <c r="AK67" s="68"/>
    </row>
    <row r="68" spans="1:37" s="45" customFormat="1" ht="2.25" customHeight="1">
      <c r="A68" s="165"/>
      <c r="B68" s="166"/>
      <c r="C68" s="187"/>
      <c r="D68" s="170"/>
      <c r="E68" s="528"/>
      <c r="F68" s="528"/>
      <c r="G68" s="528"/>
      <c r="H68" s="528"/>
      <c r="I68" s="528"/>
      <c r="J68" s="528"/>
      <c r="K68" s="528"/>
      <c r="L68" s="528"/>
      <c r="M68" s="528"/>
      <c r="N68" s="528"/>
      <c r="O68" s="528"/>
      <c r="P68" s="528"/>
      <c r="Q68" s="528"/>
      <c r="R68" s="528"/>
      <c r="S68" s="528"/>
      <c r="T68" s="529"/>
      <c r="U68" s="522"/>
      <c r="V68" s="523"/>
      <c r="W68" s="524"/>
      <c r="X68" s="522"/>
      <c r="Y68" s="523"/>
      <c r="Z68" s="523"/>
      <c r="AA68" s="523"/>
      <c r="AB68" s="523"/>
      <c r="AC68" s="523"/>
      <c r="AD68" s="523"/>
      <c r="AE68" s="523"/>
      <c r="AF68" s="523"/>
      <c r="AG68" s="523"/>
      <c r="AH68" s="524"/>
      <c r="AI68" s="68"/>
      <c r="AJ68" s="68"/>
      <c r="AK68" s="68"/>
    </row>
    <row r="69" spans="1:37" s="45" customFormat="1" ht="1.5" customHeight="1">
      <c r="A69" s="183"/>
      <c r="B69" s="184"/>
      <c r="C69" s="185"/>
      <c r="D69" s="178"/>
      <c r="E69" s="188"/>
      <c r="F69" s="188"/>
      <c r="G69" s="188"/>
      <c r="H69" s="188"/>
      <c r="I69" s="188"/>
      <c r="J69" s="188"/>
      <c r="K69" s="188"/>
      <c r="L69" s="188"/>
      <c r="M69" s="188"/>
      <c r="N69" s="188"/>
      <c r="O69" s="188"/>
      <c r="P69" s="188"/>
      <c r="Q69" s="188"/>
      <c r="R69" s="188"/>
      <c r="S69" s="188"/>
      <c r="T69" s="188"/>
      <c r="U69" s="525"/>
      <c r="V69" s="526"/>
      <c r="W69" s="527"/>
      <c r="X69" s="525"/>
      <c r="Y69" s="526"/>
      <c r="Z69" s="526"/>
      <c r="AA69" s="526"/>
      <c r="AB69" s="526"/>
      <c r="AC69" s="526"/>
      <c r="AD69" s="526"/>
      <c r="AE69" s="526"/>
      <c r="AF69" s="526"/>
      <c r="AG69" s="526"/>
      <c r="AH69" s="527"/>
      <c r="AI69" s="68"/>
      <c r="AJ69" s="68"/>
      <c r="AK69" s="68"/>
    </row>
    <row r="70" spans="1:37" s="45" customFormat="1" ht="3.75" customHeight="1">
      <c r="A70" s="165"/>
      <c r="B70" s="166"/>
      <c r="C70" s="171"/>
      <c r="D70" s="170"/>
      <c r="E70" s="181"/>
      <c r="F70" s="181"/>
      <c r="G70" s="181"/>
      <c r="H70" s="181"/>
      <c r="I70" s="181"/>
      <c r="J70" s="181"/>
      <c r="K70" s="181"/>
      <c r="L70" s="181"/>
      <c r="M70" s="181"/>
      <c r="N70" s="181"/>
      <c r="O70" s="181"/>
      <c r="P70" s="181"/>
      <c r="Q70" s="181"/>
      <c r="R70" s="181"/>
      <c r="S70" s="181"/>
      <c r="T70" s="181"/>
      <c r="U70" s="519"/>
      <c r="V70" s="520"/>
      <c r="W70" s="521"/>
      <c r="X70" s="519"/>
      <c r="Y70" s="520"/>
      <c r="Z70" s="520"/>
      <c r="AA70" s="520"/>
      <c r="AB70" s="520"/>
      <c r="AC70" s="520"/>
      <c r="AD70" s="520"/>
      <c r="AE70" s="520"/>
      <c r="AF70" s="520"/>
      <c r="AG70" s="520"/>
      <c r="AH70" s="521"/>
      <c r="AI70" s="68"/>
      <c r="AJ70" s="68"/>
      <c r="AK70" s="68"/>
    </row>
    <row r="71" spans="1:37" s="45" customFormat="1" ht="19.5" customHeight="1">
      <c r="A71" s="165"/>
      <c r="B71" s="166"/>
      <c r="C71" s="164"/>
      <c r="D71" s="170"/>
      <c r="E71" s="494" t="str">
        <f>VLOOKUP("partsubmissionwarrant",Translations!$A:$T,MATCH(PSW!AO7,Translations!A1:P1,0),0)</f>
        <v>PART SUBMISSION WARRANT (PSW)</v>
      </c>
      <c r="F71" s="494"/>
      <c r="G71" s="494"/>
      <c r="H71" s="494"/>
      <c r="I71" s="494"/>
      <c r="J71" s="494"/>
      <c r="K71" s="494"/>
      <c r="L71" s="494"/>
      <c r="M71" s="494"/>
      <c r="N71" s="494"/>
      <c r="O71" s="494"/>
      <c r="P71" s="494"/>
      <c r="Q71" s="494"/>
      <c r="R71" s="494"/>
      <c r="S71" s="494"/>
      <c r="T71" s="494"/>
      <c r="U71" s="522"/>
      <c r="V71" s="523"/>
      <c r="W71" s="524"/>
      <c r="X71" s="522"/>
      <c r="Y71" s="523"/>
      <c r="Z71" s="523"/>
      <c r="AA71" s="523"/>
      <c r="AB71" s="523"/>
      <c r="AC71" s="523"/>
      <c r="AD71" s="523"/>
      <c r="AE71" s="523"/>
      <c r="AF71" s="523"/>
      <c r="AG71" s="523"/>
      <c r="AH71" s="524"/>
      <c r="AI71" s="68"/>
      <c r="AJ71" s="68"/>
      <c r="AK71" s="68"/>
    </row>
    <row r="72" spans="1:37" s="45" customFormat="1" ht="3.75" customHeight="1">
      <c r="A72" s="165"/>
      <c r="B72" s="166"/>
      <c r="C72" s="171"/>
      <c r="D72" s="170"/>
      <c r="E72" s="172"/>
      <c r="F72" s="172"/>
      <c r="G72" s="172"/>
      <c r="H72" s="172"/>
      <c r="I72" s="172"/>
      <c r="J72" s="172"/>
      <c r="K72" s="172"/>
      <c r="L72" s="172"/>
      <c r="M72" s="172"/>
      <c r="N72" s="172"/>
      <c r="O72" s="172"/>
      <c r="P72" s="172"/>
      <c r="Q72" s="172"/>
      <c r="R72" s="172"/>
      <c r="S72" s="172"/>
      <c r="T72" s="172"/>
      <c r="U72" s="525"/>
      <c r="V72" s="526"/>
      <c r="W72" s="527"/>
      <c r="X72" s="525"/>
      <c r="Y72" s="526"/>
      <c r="Z72" s="526"/>
      <c r="AA72" s="526"/>
      <c r="AB72" s="526"/>
      <c r="AC72" s="526"/>
      <c r="AD72" s="526"/>
      <c r="AE72" s="526"/>
      <c r="AF72" s="526"/>
      <c r="AG72" s="526"/>
      <c r="AH72" s="527"/>
      <c r="AI72" s="68"/>
      <c r="AJ72" s="68"/>
      <c r="AK72" s="68"/>
    </row>
    <row r="73" spans="1:37" s="45" customFormat="1" ht="3.75" customHeight="1">
      <c r="A73" s="173"/>
      <c r="B73" s="174"/>
      <c r="C73" s="175"/>
      <c r="D73" s="176"/>
      <c r="E73" s="177"/>
      <c r="F73" s="177"/>
      <c r="G73" s="177"/>
      <c r="H73" s="177"/>
      <c r="I73" s="177"/>
      <c r="J73" s="177"/>
      <c r="K73" s="177"/>
      <c r="L73" s="177"/>
      <c r="M73" s="177"/>
      <c r="N73" s="177"/>
      <c r="O73" s="177"/>
      <c r="P73" s="177"/>
      <c r="Q73" s="177"/>
      <c r="R73" s="177"/>
      <c r="S73" s="177"/>
      <c r="T73" s="177"/>
      <c r="U73" s="519"/>
      <c r="V73" s="520"/>
      <c r="W73" s="521"/>
      <c r="X73" s="519"/>
      <c r="Y73" s="520"/>
      <c r="Z73" s="520"/>
      <c r="AA73" s="520"/>
      <c r="AB73" s="520"/>
      <c r="AC73" s="520"/>
      <c r="AD73" s="520"/>
      <c r="AE73" s="520"/>
      <c r="AF73" s="520"/>
      <c r="AG73" s="520"/>
      <c r="AH73" s="521"/>
      <c r="AI73" s="68"/>
      <c r="AJ73" s="68"/>
      <c r="AK73" s="68"/>
    </row>
    <row r="74" spans="1:37" s="45" customFormat="1" ht="19.5" customHeight="1">
      <c r="A74" s="165"/>
      <c r="B74" s="166"/>
      <c r="C74" s="164"/>
      <c r="D74" s="170"/>
      <c r="E74" s="494" t="str">
        <f>VLOOKUP("bulkmaterialchecklist",Translations!$A:$T,MATCH(PSW!AO7,Translations!A1:P1,0),0)</f>
        <v>BULK MATERIAL CHECKLIST</v>
      </c>
      <c r="F74" s="494"/>
      <c r="G74" s="494"/>
      <c r="H74" s="494"/>
      <c r="I74" s="494"/>
      <c r="J74" s="494"/>
      <c r="K74" s="494"/>
      <c r="L74" s="494"/>
      <c r="M74" s="494"/>
      <c r="N74" s="494"/>
      <c r="O74" s="494"/>
      <c r="P74" s="494"/>
      <c r="Q74" s="494"/>
      <c r="R74" s="494"/>
      <c r="S74" s="494"/>
      <c r="T74" s="494"/>
      <c r="U74" s="522"/>
      <c r="V74" s="523"/>
      <c r="W74" s="524"/>
      <c r="X74" s="522"/>
      <c r="Y74" s="523"/>
      <c r="Z74" s="523"/>
      <c r="AA74" s="523"/>
      <c r="AB74" s="523"/>
      <c r="AC74" s="523"/>
      <c r="AD74" s="523"/>
      <c r="AE74" s="523"/>
      <c r="AF74" s="523"/>
      <c r="AG74" s="523"/>
      <c r="AH74" s="524"/>
      <c r="AI74" s="68"/>
      <c r="AJ74" s="68"/>
      <c r="AK74" s="68"/>
    </row>
    <row r="75" spans="1:37" s="45" customFormat="1" ht="3.75" customHeight="1">
      <c r="A75" s="165"/>
      <c r="B75" s="166"/>
      <c r="C75" s="171"/>
      <c r="D75" s="170"/>
      <c r="E75" s="172"/>
      <c r="F75" s="172"/>
      <c r="G75" s="172"/>
      <c r="H75" s="172"/>
      <c r="I75" s="172"/>
      <c r="J75" s="172"/>
      <c r="K75" s="172"/>
      <c r="L75" s="172"/>
      <c r="M75" s="172"/>
      <c r="N75" s="172"/>
      <c r="O75" s="172"/>
      <c r="P75" s="172"/>
      <c r="Q75" s="172"/>
      <c r="R75" s="172"/>
      <c r="S75" s="172"/>
      <c r="T75" s="172"/>
      <c r="U75" s="525"/>
      <c r="V75" s="526"/>
      <c r="W75" s="527"/>
      <c r="X75" s="525"/>
      <c r="Y75" s="526"/>
      <c r="Z75" s="526"/>
      <c r="AA75" s="526"/>
      <c r="AB75" s="526"/>
      <c r="AC75" s="526"/>
      <c r="AD75" s="526"/>
      <c r="AE75" s="526"/>
      <c r="AF75" s="526"/>
      <c r="AG75" s="526"/>
      <c r="AH75" s="527"/>
      <c r="AI75" s="68"/>
      <c r="AJ75" s="68"/>
      <c r="AK75" s="68"/>
    </row>
    <row r="76" spans="1:37" s="45" customFormat="1" ht="3.75" customHeight="1">
      <c r="A76" s="173"/>
      <c r="B76" s="174"/>
      <c r="C76" s="175"/>
      <c r="D76" s="176"/>
      <c r="E76" s="177"/>
      <c r="F76" s="177"/>
      <c r="G76" s="177"/>
      <c r="H76" s="177"/>
      <c r="I76" s="177"/>
      <c r="J76" s="177"/>
      <c r="K76" s="177"/>
      <c r="L76" s="177"/>
      <c r="M76" s="177"/>
      <c r="N76" s="177"/>
      <c r="O76" s="177"/>
      <c r="P76" s="177"/>
      <c r="Q76" s="177"/>
      <c r="R76" s="177"/>
      <c r="S76" s="177"/>
      <c r="T76" s="177"/>
      <c r="U76" s="519"/>
      <c r="V76" s="520"/>
      <c r="W76" s="521"/>
      <c r="X76" s="519"/>
      <c r="Y76" s="520"/>
      <c r="Z76" s="520"/>
      <c r="AA76" s="520"/>
      <c r="AB76" s="520"/>
      <c r="AC76" s="520"/>
      <c r="AD76" s="520"/>
      <c r="AE76" s="520"/>
      <c r="AF76" s="520"/>
      <c r="AG76" s="520"/>
      <c r="AH76" s="521"/>
      <c r="AI76" s="68"/>
      <c r="AJ76" s="68"/>
      <c r="AK76" s="68"/>
    </row>
    <row r="77" spans="1:37" s="45" customFormat="1" ht="19.5" customHeight="1">
      <c r="A77" s="165"/>
      <c r="B77" s="166"/>
      <c r="C77" s="164"/>
      <c r="D77" s="170"/>
      <c r="E77" s="494" t="str">
        <f>VLOOKUP("partsdeliveryhistorym+hspecificrequirement",Translations!$A:$T,MATCH(PSW!AO7,Translations!A1:P1,0),0)</f>
        <v>PARTS DELIVERY HISTORY</v>
      </c>
      <c r="F77" s="494"/>
      <c r="G77" s="494"/>
      <c r="H77" s="494"/>
      <c r="I77" s="494"/>
      <c r="J77" s="494"/>
      <c r="K77" s="494"/>
      <c r="L77" s="494"/>
      <c r="M77" s="494"/>
      <c r="N77" s="494"/>
      <c r="O77" s="494"/>
      <c r="P77" s="494"/>
      <c r="Q77" s="494"/>
      <c r="R77" s="494"/>
      <c r="S77" s="494"/>
      <c r="T77" s="494"/>
      <c r="U77" s="522"/>
      <c r="V77" s="523"/>
      <c r="W77" s="524"/>
      <c r="X77" s="522"/>
      <c r="Y77" s="523"/>
      <c r="Z77" s="523"/>
      <c r="AA77" s="523"/>
      <c r="AB77" s="523"/>
      <c r="AC77" s="523"/>
      <c r="AD77" s="523"/>
      <c r="AE77" s="523"/>
      <c r="AF77" s="523"/>
      <c r="AG77" s="523"/>
      <c r="AH77" s="524"/>
      <c r="AI77" s="68"/>
      <c r="AJ77" s="68"/>
      <c r="AK77" s="68"/>
    </row>
    <row r="78" spans="1:37" s="45" customFormat="1" ht="3.75" customHeight="1">
      <c r="A78" s="165"/>
      <c r="B78" s="166"/>
      <c r="C78" s="171"/>
      <c r="D78" s="170"/>
      <c r="E78" s="172"/>
      <c r="F78" s="172"/>
      <c r="G78" s="172"/>
      <c r="H78" s="172"/>
      <c r="I78" s="172"/>
      <c r="J78" s="172"/>
      <c r="K78" s="172"/>
      <c r="L78" s="172"/>
      <c r="M78" s="172"/>
      <c r="N78" s="172"/>
      <c r="O78" s="172"/>
      <c r="P78" s="172"/>
      <c r="Q78" s="172"/>
      <c r="R78" s="172"/>
      <c r="S78" s="172"/>
      <c r="T78" s="172"/>
      <c r="U78" s="525"/>
      <c r="V78" s="526"/>
      <c r="W78" s="527"/>
      <c r="X78" s="525"/>
      <c r="Y78" s="526"/>
      <c r="Z78" s="526"/>
      <c r="AA78" s="526"/>
      <c r="AB78" s="526"/>
      <c r="AC78" s="526"/>
      <c r="AD78" s="526"/>
      <c r="AE78" s="526"/>
      <c r="AF78" s="526"/>
      <c r="AG78" s="526"/>
      <c r="AH78" s="527"/>
      <c r="AI78" s="68"/>
      <c r="AJ78" s="68"/>
      <c r="AK78" s="68"/>
    </row>
    <row r="79" spans="1:37" s="45" customFormat="1" ht="3.75" customHeight="1">
      <c r="A79" s="173"/>
      <c r="B79" s="174"/>
      <c r="C79" s="175"/>
      <c r="D79" s="176"/>
      <c r="E79" s="177"/>
      <c r="F79" s="177"/>
      <c r="G79" s="177"/>
      <c r="H79" s="177"/>
      <c r="I79" s="177"/>
      <c r="J79" s="177"/>
      <c r="K79" s="177"/>
      <c r="L79" s="177"/>
      <c r="M79" s="177"/>
      <c r="N79" s="177"/>
      <c r="O79" s="177"/>
      <c r="P79" s="177"/>
      <c r="Q79" s="177"/>
      <c r="R79" s="177"/>
      <c r="S79" s="177"/>
      <c r="T79" s="177"/>
      <c r="U79" s="519"/>
      <c r="V79" s="520"/>
      <c r="W79" s="521"/>
      <c r="X79" s="519"/>
      <c r="Y79" s="520"/>
      <c r="Z79" s="520"/>
      <c r="AA79" s="520"/>
      <c r="AB79" s="520"/>
      <c r="AC79" s="520"/>
      <c r="AD79" s="520"/>
      <c r="AE79" s="520"/>
      <c r="AF79" s="520"/>
      <c r="AG79" s="520"/>
      <c r="AH79" s="521"/>
      <c r="AI79" s="68"/>
      <c r="AJ79" s="68"/>
      <c r="AK79" s="68"/>
    </row>
    <row r="80" spans="1:37" s="45" customFormat="1" ht="19.5" customHeight="1">
      <c r="A80" s="165"/>
      <c r="B80" s="166"/>
      <c r="C80" s="164"/>
      <c r="D80" s="170"/>
      <c r="E80" s="494" t="str">
        <f>VLOOKUP("sub-supplierspsw",Translations!$A:$T,MATCH(PSW!AO7,Translations!A1:P1,0),0)</f>
        <v>SUB-SUPPLIERS PSW</v>
      </c>
      <c r="F80" s="494"/>
      <c r="G80" s="494"/>
      <c r="H80" s="494"/>
      <c r="I80" s="494"/>
      <c r="J80" s="494"/>
      <c r="K80" s="494"/>
      <c r="L80" s="494"/>
      <c r="M80" s="494"/>
      <c r="N80" s="494"/>
      <c r="O80" s="494"/>
      <c r="P80" s="494"/>
      <c r="Q80" s="494"/>
      <c r="R80" s="494"/>
      <c r="S80" s="494"/>
      <c r="T80" s="494"/>
      <c r="U80" s="522"/>
      <c r="V80" s="523"/>
      <c r="W80" s="524"/>
      <c r="X80" s="522"/>
      <c r="Y80" s="523"/>
      <c r="Z80" s="523"/>
      <c r="AA80" s="523"/>
      <c r="AB80" s="523"/>
      <c r="AC80" s="523"/>
      <c r="AD80" s="523"/>
      <c r="AE80" s="523"/>
      <c r="AF80" s="523"/>
      <c r="AG80" s="523"/>
      <c r="AH80" s="524"/>
      <c r="AI80" s="68"/>
      <c r="AJ80" s="68"/>
      <c r="AK80" s="68"/>
    </row>
    <row r="81" spans="1:37" s="45" customFormat="1" ht="3.75" customHeight="1">
      <c r="A81" s="165"/>
      <c r="B81" s="166"/>
      <c r="C81" s="171"/>
      <c r="D81" s="170"/>
      <c r="E81" s="172"/>
      <c r="F81" s="172"/>
      <c r="G81" s="172"/>
      <c r="H81" s="172"/>
      <c r="I81" s="172"/>
      <c r="J81" s="172"/>
      <c r="K81" s="172"/>
      <c r="L81" s="172"/>
      <c r="M81" s="172"/>
      <c r="N81" s="172"/>
      <c r="O81" s="172"/>
      <c r="P81" s="172"/>
      <c r="Q81" s="172"/>
      <c r="R81" s="172"/>
      <c r="S81" s="172"/>
      <c r="T81" s="172"/>
      <c r="U81" s="525"/>
      <c r="V81" s="526"/>
      <c r="W81" s="527"/>
      <c r="X81" s="525"/>
      <c r="Y81" s="526"/>
      <c r="Z81" s="526"/>
      <c r="AA81" s="526"/>
      <c r="AB81" s="526"/>
      <c r="AC81" s="526"/>
      <c r="AD81" s="526"/>
      <c r="AE81" s="526"/>
      <c r="AF81" s="526"/>
      <c r="AG81" s="526"/>
      <c r="AH81" s="527"/>
      <c r="AI81" s="68"/>
      <c r="AJ81" s="68"/>
      <c r="AK81" s="68"/>
    </row>
    <row r="82" spans="1:37" s="45" customFormat="1" ht="3.75" customHeight="1">
      <c r="A82" s="173"/>
      <c r="B82" s="174"/>
      <c r="C82" s="175"/>
      <c r="D82" s="176"/>
      <c r="E82" s="177"/>
      <c r="F82" s="177"/>
      <c r="G82" s="177"/>
      <c r="H82" s="177"/>
      <c r="I82" s="177"/>
      <c r="J82" s="177"/>
      <c r="K82" s="177"/>
      <c r="L82" s="177"/>
      <c r="M82" s="177"/>
      <c r="N82" s="177"/>
      <c r="O82" s="177"/>
      <c r="P82" s="177"/>
      <c r="Q82" s="177"/>
      <c r="R82" s="177"/>
      <c r="S82" s="177"/>
      <c r="T82" s="177"/>
      <c r="U82" s="519"/>
      <c r="V82" s="520"/>
      <c r="W82" s="521"/>
      <c r="X82" s="519"/>
      <c r="Y82" s="520"/>
      <c r="Z82" s="520"/>
      <c r="AA82" s="520"/>
      <c r="AB82" s="520"/>
      <c r="AC82" s="520"/>
      <c r="AD82" s="520"/>
      <c r="AE82" s="520"/>
      <c r="AF82" s="520"/>
      <c r="AG82" s="520"/>
      <c r="AH82" s="521"/>
      <c r="AI82" s="68"/>
      <c r="AJ82" s="68"/>
      <c r="AK82" s="68"/>
    </row>
    <row r="83" spans="1:37" s="45" customFormat="1" ht="19.5" customHeight="1">
      <c r="A83" s="165"/>
      <c r="B83" s="166"/>
      <c r="C83" s="164"/>
      <c r="D83" s="170"/>
      <c r="E83" s="494" t="str">
        <f>VLOOKUP("packaging",Translations!$A:$T,MATCH(PSW!AO7,Translations!A1:P1,0),0)</f>
        <v>PACKAGING</v>
      </c>
      <c r="F83" s="494"/>
      <c r="G83" s="494"/>
      <c r="H83" s="494"/>
      <c r="I83" s="494"/>
      <c r="J83" s="494"/>
      <c r="K83" s="494"/>
      <c r="L83" s="494"/>
      <c r="M83" s="494"/>
      <c r="N83" s="494"/>
      <c r="O83" s="494"/>
      <c r="P83" s="494"/>
      <c r="Q83" s="494"/>
      <c r="R83" s="494"/>
      <c r="S83" s="494"/>
      <c r="T83" s="494"/>
      <c r="U83" s="522"/>
      <c r="V83" s="523"/>
      <c r="W83" s="524"/>
      <c r="X83" s="522"/>
      <c r="Y83" s="523"/>
      <c r="Z83" s="523"/>
      <c r="AA83" s="523"/>
      <c r="AB83" s="523"/>
      <c r="AC83" s="523"/>
      <c r="AD83" s="523"/>
      <c r="AE83" s="523"/>
      <c r="AF83" s="523"/>
      <c r="AG83" s="523"/>
      <c r="AH83" s="524"/>
      <c r="AI83" s="68"/>
      <c r="AJ83" s="68"/>
      <c r="AK83" s="68"/>
    </row>
    <row r="84" spans="1:37" s="45" customFormat="1" ht="3.75" customHeight="1">
      <c r="A84" s="165"/>
      <c r="B84" s="166"/>
      <c r="C84" s="171"/>
      <c r="D84" s="170"/>
      <c r="E84" s="172"/>
      <c r="F84" s="172"/>
      <c r="G84" s="172"/>
      <c r="H84" s="172"/>
      <c r="I84" s="172"/>
      <c r="J84" s="172"/>
      <c r="K84" s="172"/>
      <c r="L84" s="172"/>
      <c r="M84" s="172"/>
      <c r="N84" s="172"/>
      <c r="O84" s="172"/>
      <c r="P84" s="172"/>
      <c r="Q84" s="172"/>
      <c r="R84" s="172"/>
      <c r="S84" s="172"/>
      <c r="T84" s="172"/>
      <c r="U84" s="525"/>
      <c r="V84" s="526"/>
      <c r="W84" s="527"/>
      <c r="X84" s="525"/>
      <c r="Y84" s="526"/>
      <c r="Z84" s="526"/>
      <c r="AA84" s="526"/>
      <c r="AB84" s="526"/>
      <c r="AC84" s="526"/>
      <c r="AD84" s="526"/>
      <c r="AE84" s="526"/>
      <c r="AF84" s="526"/>
      <c r="AG84" s="526"/>
      <c r="AH84" s="527"/>
      <c r="AI84" s="68"/>
      <c r="AJ84" s="68"/>
      <c r="AK84" s="68"/>
    </row>
    <row r="85" spans="1:37" s="45" customFormat="1" ht="3.75" customHeight="1">
      <c r="A85" s="173"/>
      <c r="B85" s="174"/>
      <c r="C85" s="175"/>
      <c r="D85" s="176"/>
      <c r="E85" s="177"/>
      <c r="F85" s="177"/>
      <c r="G85" s="177"/>
      <c r="H85" s="177"/>
      <c r="I85" s="177"/>
      <c r="J85" s="177"/>
      <c r="K85" s="177"/>
      <c r="L85" s="177"/>
      <c r="M85" s="177"/>
      <c r="N85" s="177"/>
      <c r="O85" s="177"/>
      <c r="P85" s="177"/>
      <c r="Q85" s="177"/>
      <c r="R85" s="177"/>
      <c r="S85" s="177"/>
      <c r="T85" s="177"/>
      <c r="U85" s="519"/>
      <c r="V85" s="520"/>
      <c r="W85" s="521"/>
      <c r="X85" s="519"/>
      <c r="Y85" s="520"/>
      <c r="Z85" s="520"/>
      <c r="AA85" s="520"/>
      <c r="AB85" s="520"/>
      <c r="AC85" s="520"/>
      <c r="AD85" s="520"/>
      <c r="AE85" s="520"/>
      <c r="AF85" s="520"/>
      <c r="AG85" s="520"/>
      <c r="AH85" s="521"/>
      <c r="AI85" s="68"/>
      <c r="AJ85" s="68"/>
      <c r="AK85" s="68"/>
    </row>
    <row r="86" spans="1:37" s="45" customFormat="1" ht="19.5" customHeight="1">
      <c r="A86" s="165"/>
      <c r="B86" s="166"/>
      <c r="C86" s="164"/>
      <c r="D86" s="170"/>
      <c r="E86" s="494" t="str">
        <f>VLOOKUP("resultfromsupplierinternalrun@rate",Translations!$A:$T,MATCH(PSW!AO7,Translations!A1:P1,0),0)</f>
        <v>RESULT FROM SUPPLIER RUN@RATE</v>
      </c>
      <c r="F86" s="494"/>
      <c r="G86" s="494"/>
      <c r="H86" s="494"/>
      <c r="I86" s="494"/>
      <c r="J86" s="494"/>
      <c r="K86" s="494"/>
      <c r="L86" s="494"/>
      <c r="M86" s="494"/>
      <c r="N86" s="494"/>
      <c r="O86" s="494"/>
      <c r="P86" s="494"/>
      <c r="Q86" s="494"/>
      <c r="R86" s="494"/>
      <c r="S86" s="494"/>
      <c r="T86" s="494"/>
      <c r="U86" s="522"/>
      <c r="V86" s="523"/>
      <c r="W86" s="524"/>
      <c r="X86" s="522"/>
      <c r="Y86" s="523"/>
      <c r="Z86" s="523"/>
      <c r="AA86" s="523"/>
      <c r="AB86" s="523"/>
      <c r="AC86" s="523"/>
      <c r="AD86" s="523"/>
      <c r="AE86" s="523"/>
      <c r="AF86" s="523"/>
      <c r="AG86" s="523"/>
      <c r="AH86" s="524"/>
      <c r="AI86" s="68"/>
      <c r="AJ86" s="68"/>
      <c r="AK86" s="68"/>
    </row>
    <row r="87" spans="1:37" s="45" customFormat="1" ht="3.75" customHeight="1">
      <c r="A87" s="165"/>
      <c r="B87" s="166"/>
      <c r="C87" s="171"/>
      <c r="D87" s="170"/>
      <c r="E87" s="172"/>
      <c r="F87" s="172"/>
      <c r="G87" s="172"/>
      <c r="H87" s="172"/>
      <c r="I87" s="172"/>
      <c r="J87" s="172"/>
      <c r="K87" s="172"/>
      <c r="L87" s="172"/>
      <c r="M87" s="172"/>
      <c r="N87" s="172"/>
      <c r="O87" s="172"/>
      <c r="P87" s="172"/>
      <c r="Q87" s="172"/>
      <c r="R87" s="172"/>
      <c r="S87" s="172"/>
      <c r="T87" s="172"/>
      <c r="U87" s="525"/>
      <c r="V87" s="526"/>
      <c r="W87" s="527"/>
      <c r="X87" s="525"/>
      <c r="Y87" s="526"/>
      <c r="Z87" s="526"/>
      <c r="AA87" s="526"/>
      <c r="AB87" s="526"/>
      <c r="AC87" s="526"/>
      <c r="AD87" s="526"/>
      <c r="AE87" s="526"/>
      <c r="AF87" s="526"/>
      <c r="AG87" s="526"/>
      <c r="AH87" s="527"/>
      <c r="AI87" s="68"/>
      <c r="AJ87" s="68"/>
      <c r="AK87" s="68"/>
    </row>
    <row r="88" spans="1:37" s="45" customFormat="1" ht="3.75" customHeight="1">
      <c r="A88" s="173"/>
      <c r="B88" s="174"/>
      <c r="C88" s="175"/>
      <c r="D88" s="176"/>
      <c r="E88" s="177"/>
      <c r="F88" s="177"/>
      <c r="G88" s="177"/>
      <c r="H88" s="177"/>
      <c r="I88" s="177"/>
      <c r="J88" s="177"/>
      <c r="K88" s="177"/>
      <c r="L88" s="177"/>
      <c r="M88" s="177"/>
      <c r="N88" s="177"/>
      <c r="O88" s="177"/>
      <c r="P88" s="177"/>
      <c r="Q88" s="177"/>
      <c r="R88" s="177"/>
      <c r="S88" s="177"/>
      <c r="T88" s="177"/>
      <c r="U88" s="519"/>
      <c r="V88" s="520"/>
      <c r="W88" s="521"/>
      <c r="X88" s="519"/>
      <c r="Y88" s="520"/>
      <c r="Z88" s="520"/>
      <c r="AA88" s="520"/>
      <c r="AB88" s="520"/>
      <c r="AC88" s="520"/>
      <c r="AD88" s="520"/>
      <c r="AE88" s="520"/>
      <c r="AF88" s="520"/>
      <c r="AG88" s="520"/>
      <c r="AH88" s="521"/>
      <c r="AI88" s="68"/>
      <c r="AJ88" s="68"/>
      <c r="AK88" s="68"/>
    </row>
    <row r="89" spans="1:37" s="45" customFormat="1" ht="19.5" customHeight="1">
      <c r="A89" s="165"/>
      <c r="B89" s="166"/>
      <c r="C89" s="164"/>
      <c r="D89" s="170"/>
      <c r="E89" s="494" t="str">
        <f>VLOOKUP("others",Translations!$A:$T,MATCH(PSW!AO7,Translations!A1:P1,0),0)</f>
        <v>OTHERS</v>
      </c>
      <c r="F89" s="494"/>
      <c r="G89" s="494"/>
      <c r="H89" s="494"/>
      <c r="I89" s="494"/>
      <c r="J89" s="494"/>
      <c r="K89" s="494"/>
      <c r="L89" s="494"/>
      <c r="M89" s="494"/>
      <c r="N89" s="494"/>
      <c r="O89" s="494"/>
      <c r="P89" s="494"/>
      <c r="Q89" s="494"/>
      <c r="R89" s="494"/>
      <c r="S89" s="494"/>
      <c r="T89" s="494"/>
      <c r="U89" s="522"/>
      <c r="V89" s="523"/>
      <c r="W89" s="524"/>
      <c r="X89" s="522"/>
      <c r="Y89" s="523"/>
      <c r="Z89" s="523"/>
      <c r="AA89" s="523"/>
      <c r="AB89" s="523"/>
      <c r="AC89" s="523"/>
      <c r="AD89" s="523"/>
      <c r="AE89" s="523"/>
      <c r="AF89" s="523"/>
      <c r="AG89" s="523"/>
      <c r="AH89" s="524"/>
      <c r="AI89" s="67"/>
      <c r="AJ89" s="67"/>
      <c r="AK89" s="67"/>
    </row>
    <row r="90" spans="1:37" ht="3.75" customHeight="1" thickBot="1">
      <c r="A90" s="189"/>
      <c r="B90" s="190"/>
      <c r="C90" s="190"/>
      <c r="D90" s="190"/>
      <c r="E90" s="191"/>
      <c r="F90" s="191"/>
      <c r="G90" s="191"/>
      <c r="H90" s="191"/>
      <c r="I90" s="191"/>
      <c r="J90" s="191"/>
      <c r="K90" s="191"/>
      <c r="L90" s="191"/>
      <c r="M90" s="191"/>
      <c r="N90" s="191"/>
      <c r="O90" s="191"/>
      <c r="P90" s="191"/>
      <c r="Q90" s="191"/>
      <c r="R90" s="191"/>
      <c r="S90" s="191"/>
      <c r="T90" s="191"/>
      <c r="U90" s="556"/>
      <c r="V90" s="557"/>
      <c r="W90" s="558"/>
      <c r="X90" s="556"/>
      <c r="Y90" s="557"/>
      <c r="Z90" s="557"/>
      <c r="AA90" s="557"/>
      <c r="AB90" s="557"/>
      <c r="AC90" s="557"/>
      <c r="AD90" s="557"/>
      <c r="AE90" s="557"/>
      <c r="AF90" s="557"/>
      <c r="AG90" s="557"/>
      <c r="AH90" s="558"/>
    </row>
    <row r="91" spans="1:37" s="45" customFormat="1" ht="18" customHeight="1">
      <c r="A91" s="510" t="str">
        <f>VLOOKUP("commentssupplier",Translations!$A:$T,MATCH(PSW!AO7,Translations!A1:P1,0),0)</f>
        <v>COMMENTS SUPPLIER:</v>
      </c>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2"/>
      <c r="AI91" s="67"/>
      <c r="AJ91" s="67"/>
      <c r="AK91" s="67"/>
    </row>
    <row r="92" spans="1:37" s="45" customFormat="1" ht="14.25" customHeight="1">
      <c r="A92" s="513"/>
      <c r="B92" s="514"/>
      <c r="C92" s="514"/>
      <c r="D92" s="514"/>
      <c r="E92" s="514"/>
      <c r="F92" s="514"/>
      <c r="G92" s="514"/>
      <c r="H92" s="514"/>
      <c r="I92" s="514"/>
      <c r="J92" s="514"/>
      <c r="K92" s="514"/>
      <c r="L92" s="514"/>
      <c r="M92" s="514"/>
      <c r="N92" s="514"/>
      <c r="O92" s="514"/>
      <c r="P92" s="514"/>
      <c r="Q92" s="514"/>
      <c r="R92" s="514"/>
      <c r="S92" s="514"/>
      <c r="T92" s="514"/>
      <c r="U92" s="514"/>
      <c r="V92" s="514"/>
      <c r="W92" s="514"/>
      <c r="X92" s="514"/>
      <c r="Y92" s="514"/>
      <c r="Z92" s="514"/>
      <c r="AA92" s="514"/>
      <c r="AB92" s="514"/>
      <c r="AC92" s="514"/>
      <c r="AD92" s="514"/>
      <c r="AE92" s="514"/>
      <c r="AF92" s="514"/>
      <c r="AG92" s="514"/>
      <c r="AH92" s="515"/>
      <c r="AI92" s="67"/>
      <c r="AJ92" s="67"/>
      <c r="AK92" s="67"/>
    </row>
    <row r="93" spans="1:37" s="45" customFormat="1" ht="14.25" customHeight="1">
      <c r="A93" s="513"/>
      <c r="B93" s="514"/>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5"/>
      <c r="AI93" s="67"/>
      <c r="AJ93" s="67"/>
      <c r="AK93" s="67"/>
    </row>
    <row r="94" spans="1:37" s="45" customFormat="1" ht="14.25" customHeight="1">
      <c r="A94" s="513"/>
      <c r="B94" s="514"/>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5"/>
      <c r="AI94" s="67"/>
      <c r="AJ94" s="67"/>
      <c r="AK94" s="67"/>
    </row>
    <row r="95" spans="1:37" s="45" customFormat="1" ht="14.25" customHeight="1">
      <c r="A95" s="513"/>
      <c r="B95" s="514"/>
      <c r="C95" s="514"/>
      <c r="D95" s="514"/>
      <c r="E95" s="514"/>
      <c r="F95" s="514"/>
      <c r="G95" s="514"/>
      <c r="H95" s="514"/>
      <c r="I95" s="514"/>
      <c r="J95" s="514"/>
      <c r="K95" s="514"/>
      <c r="L95" s="514"/>
      <c r="M95" s="514"/>
      <c r="N95" s="514"/>
      <c r="O95" s="514"/>
      <c r="P95" s="514"/>
      <c r="Q95" s="514"/>
      <c r="R95" s="514"/>
      <c r="S95" s="514"/>
      <c r="T95" s="514"/>
      <c r="U95" s="514"/>
      <c r="V95" s="514"/>
      <c r="W95" s="514"/>
      <c r="X95" s="514"/>
      <c r="Y95" s="514"/>
      <c r="Z95" s="514"/>
      <c r="AA95" s="514"/>
      <c r="AB95" s="514"/>
      <c r="AC95" s="514"/>
      <c r="AD95" s="514"/>
      <c r="AE95" s="514"/>
      <c r="AF95" s="514"/>
      <c r="AG95" s="514"/>
      <c r="AH95" s="515"/>
      <c r="AI95" s="67"/>
      <c r="AJ95" s="67"/>
      <c r="AK95" s="67"/>
    </row>
    <row r="96" spans="1:37" s="45" customFormat="1" ht="14.25" customHeight="1">
      <c r="A96" s="513"/>
      <c r="B96" s="514"/>
      <c r="C96" s="514"/>
      <c r="D96" s="514"/>
      <c r="E96" s="514"/>
      <c r="F96" s="514"/>
      <c r="G96" s="514"/>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5"/>
      <c r="AI96" s="67"/>
      <c r="AJ96" s="67"/>
      <c r="AK96" s="67"/>
    </row>
    <row r="97" spans="1:37" s="45" customFormat="1" ht="14.25" customHeight="1">
      <c r="A97" s="513"/>
      <c r="B97" s="514"/>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514"/>
      <c r="AG97" s="514"/>
      <c r="AH97" s="515"/>
      <c r="AI97" s="67"/>
      <c r="AJ97" s="67"/>
      <c r="AK97" s="67"/>
    </row>
    <row r="98" spans="1:37" s="45" customFormat="1" ht="14.25" customHeight="1" thickBot="1">
      <c r="A98" s="516"/>
      <c r="B98" s="517"/>
      <c r="C98" s="517"/>
      <c r="D98" s="517"/>
      <c r="E98" s="517"/>
      <c r="F98" s="517"/>
      <c r="G98" s="517"/>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8"/>
      <c r="AI98" s="67"/>
      <c r="AJ98" s="67"/>
      <c r="AK98" s="67"/>
    </row>
    <row r="99" spans="1:37" ht="7.5" customHeight="1" thickBot="1"/>
    <row r="100" spans="1:37">
      <c r="C100" s="35"/>
      <c r="D100" s="35"/>
      <c r="E100" s="35"/>
      <c r="F100" s="35"/>
      <c r="G100" s="35"/>
      <c r="H100" s="35"/>
      <c r="I100" s="35"/>
      <c r="J100" s="35"/>
      <c r="K100" s="35"/>
      <c r="L100" s="35"/>
      <c r="M100" s="35"/>
      <c r="N100" s="35"/>
      <c r="O100" s="35"/>
      <c r="P100" s="495" t="str">
        <f>VLOOKUP("signature",Translations!$A:$T,MATCH(PSW!AO7,Translations!A1:P1,0),0)</f>
        <v>SIGNATURE</v>
      </c>
      <c r="Q100" s="496"/>
      <c r="R100" s="496"/>
      <c r="S100" s="496"/>
      <c r="T100" s="496"/>
      <c r="U100" s="496"/>
      <c r="V100" s="496"/>
      <c r="W100" s="496"/>
      <c r="X100" s="497"/>
      <c r="Y100" s="498" t="str">
        <f>VLOOKUP("title1",Translations!$A:$T,MATCH(PSW!AO7,Translations!A1:P1,0),0)</f>
        <v>TITLE</v>
      </c>
      <c r="Z100" s="496"/>
      <c r="AA100" s="496"/>
      <c r="AB100" s="496"/>
      <c r="AC100" s="496"/>
      <c r="AD100" s="496"/>
      <c r="AE100" s="496"/>
      <c r="AF100" s="497"/>
      <c r="AG100" s="498" t="str">
        <f>VLOOKUP("date1",Translations!$A:$T,MATCH(PSW!AO7,Translations!A1:P1,0),0)</f>
        <v>DATE</v>
      </c>
      <c r="AH100" s="499"/>
    </row>
    <row r="101" spans="1:37" ht="18" customHeight="1">
      <c r="C101" s="35"/>
      <c r="D101" s="35"/>
      <c r="E101" s="35"/>
      <c r="F101" s="35"/>
      <c r="G101" s="35"/>
      <c r="H101" s="35"/>
      <c r="I101" s="35"/>
      <c r="J101" s="35"/>
      <c r="K101" s="35"/>
      <c r="L101" s="35"/>
      <c r="M101" s="35"/>
      <c r="N101" s="35"/>
      <c r="O101" s="35"/>
      <c r="P101" s="500"/>
      <c r="Q101" s="501"/>
      <c r="R101" s="501"/>
      <c r="S101" s="501"/>
      <c r="T101" s="501"/>
      <c r="U101" s="501"/>
      <c r="V101" s="501"/>
      <c r="W101" s="501"/>
      <c r="X101" s="502"/>
      <c r="Y101" s="506"/>
      <c r="Z101" s="501"/>
      <c r="AA101" s="501"/>
      <c r="AB101" s="501"/>
      <c r="AC101" s="501"/>
      <c r="AD101" s="501"/>
      <c r="AE101" s="501"/>
      <c r="AF101" s="502"/>
      <c r="AG101" s="506"/>
      <c r="AH101" s="508"/>
    </row>
    <row r="102" spans="1:37" ht="24" customHeight="1" thickBot="1">
      <c r="C102" s="35"/>
      <c r="D102" s="35"/>
      <c r="E102" s="35"/>
      <c r="F102" s="35"/>
      <c r="G102" s="35"/>
      <c r="H102" s="35"/>
      <c r="I102" s="35"/>
      <c r="J102" s="35"/>
      <c r="K102" s="35"/>
      <c r="L102" s="35"/>
      <c r="M102" s="35"/>
      <c r="N102" s="35"/>
      <c r="O102" s="35"/>
      <c r="P102" s="503"/>
      <c r="Q102" s="504"/>
      <c r="R102" s="504"/>
      <c r="S102" s="504"/>
      <c r="T102" s="504"/>
      <c r="U102" s="504"/>
      <c r="V102" s="504"/>
      <c r="W102" s="504"/>
      <c r="X102" s="505"/>
      <c r="Y102" s="507"/>
      <c r="Z102" s="504"/>
      <c r="AA102" s="504"/>
      <c r="AB102" s="504"/>
      <c r="AC102" s="504"/>
      <c r="AD102" s="504"/>
      <c r="AE102" s="504"/>
      <c r="AF102" s="505"/>
      <c r="AG102" s="507"/>
      <c r="AH102" s="509"/>
    </row>
  </sheetData>
  <sheetProtection algorithmName="SHA-512" hashValue="bCQaMM+s5H0dN/fKbgnEGNdCG5EgTNch9qAMLFSKWuMn5G+tRDOTW5c2eGOYMqcUIsiTJ0nUppZQ/fbq+QBHzQ==" saltValue="1M/0dcdAcfkD0zokD5HlGw==" spinCount="100000" sheet="1" scenarios="1" formatCells="0" formatColumns="0" formatRows="0" insertColumns="0" insertRows="0" deleteColumns="0" deleteRows="0" selectLockedCells="1"/>
  <mergeCells count="103">
    <mergeCell ref="U88:W90"/>
    <mergeCell ref="X88:AH90"/>
    <mergeCell ref="X47:AH49"/>
    <mergeCell ref="U50:W52"/>
    <mergeCell ref="X50:AH52"/>
    <mergeCell ref="U53:W55"/>
    <mergeCell ref="U1:AF3"/>
    <mergeCell ref="E15:T15"/>
    <mergeCell ref="E18:T18"/>
    <mergeCell ref="U10:W10"/>
    <mergeCell ref="E12:T12"/>
    <mergeCell ref="X10:AH10"/>
    <mergeCell ref="U6:AH6"/>
    <mergeCell ref="U7:AH7"/>
    <mergeCell ref="U8:AH8"/>
    <mergeCell ref="U9:AH9"/>
    <mergeCell ref="H4:T4"/>
    <mergeCell ref="U4:X4"/>
    <mergeCell ref="Y4:AH4"/>
    <mergeCell ref="X11:AH13"/>
    <mergeCell ref="U11:W13"/>
    <mergeCell ref="K5:T5"/>
    <mergeCell ref="A6:T9"/>
    <mergeCell ref="A10:T10"/>
    <mergeCell ref="A4:G4"/>
    <mergeCell ref="A5:J5"/>
    <mergeCell ref="E33:T33"/>
    <mergeCell ref="E27:T27"/>
    <mergeCell ref="E30:T30"/>
    <mergeCell ref="E24:T24"/>
    <mergeCell ref="E21:T21"/>
    <mergeCell ref="U5:Y5"/>
    <mergeCell ref="Z5:AH5"/>
    <mergeCell ref="U14:W16"/>
    <mergeCell ref="X14:AH16"/>
    <mergeCell ref="U17:W19"/>
    <mergeCell ref="X17:AH19"/>
    <mergeCell ref="U20:W22"/>
    <mergeCell ref="X20:AH22"/>
    <mergeCell ref="U23:W25"/>
    <mergeCell ref="X23:AH25"/>
    <mergeCell ref="U26:W28"/>
    <mergeCell ref="X26:AH28"/>
    <mergeCell ref="U29:W31"/>
    <mergeCell ref="X29:AH31"/>
    <mergeCell ref="U32:W34"/>
    <mergeCell ref="X32:AH34"/>
    <mergeCell ref="E48:T48"/>
    <mergeCell ref="E45:T45"/>
    <mergeCell ref="E39:T39"/>
    <mergeCell ref="E42:T42"/>
    <mergeCell ref="E36:T36"/>
    <mergeCell ref="U35:W37"/>
    <mergeCell ref="X35:AH37"/>
    <mergeCell ref="U38:W40"/>
    <mergeCell ref="X38:AH40"/>
    <mergeCell ref="U41:W43"/>
    <mergeCell ref="X41:AH43"/>
    <mergeCell ref="U44:W46"/>
    <mergeCell ref="X44:AH46"/>
    <mergeCell ref="U47:W49"/>
    <mergeCell ref="E71:T71"/>
    <mergeCell ref="E63:T63"/>
    <mergeCell ref="E60:T60"/>
    <mergeCell ref="E57:T57"/>
    <mergeCell ref="E51:T51"/>
    <mergeCell ref="E54:T54"/>
    <mergeCell ref="U62:W64"/>
    <mergeCell ref="X62:AH64"/>
    <mergeCell ref="U65:W69"/>
    <mergeCell ref="X53:AH55"/>
    <mergeCell ref="U56:W58"/>
    <mergeCell ref="X56:AH58"/>
    <mergeCell ref="U59:W61"/>
    <mergeCell ref="X59:AH61"/>
    <mergeCell ref="X65:AH69"/>
    <mergeCell ref="U70:W72"/>
    <mergeCell ref="X70:AH72"/>
    <mergeCell ref="E66:T68"/>
    <mergeCell ref="E83:T83"/>
    <mergeCell ref="E77:T77"/>
    <mergeCell ref="E80:T80"/>
    <mergeCell ref="E74:T74"/>
    <mergeCell ref="P100:X100"/>
    <mergeCell ref="Y100:AF100"/>
    <mergeCell ref="AG100:AH100"/>
    <mergeCell ref="P101:X102"/>
    <mergeCell ref="Y101:AF102"/>
    <mergeCell ref="AG101:AH102"/>
    <mergeCell ref="E89:T89"/>
    <mergeCell ref="A91:AH91"/>
    <mergeCell ref="E86:T86"/>
    <mergeCell ref="A92:AH98"/>
    <mergeCell ref="U73:W75"/>
    <mergeCell ref="X73:AH75"/>
    <mergeCell ref="U76:W78"/>
    <mergeCell ref="X76:AH78"/>
    <mergeCell ref="U79:W81"/>
    <mergeCell ref="X79:AH81"/>
    <mergeCell ref="U82:W84"/>
    <mergeCell ref="X82:AH84"/>
    <mergeCell ref="U85:W87"/>
    <mergeCell ref="X85:AH87"/>
  </mergeCells>
  <printOptions horizontalCentered="1"/>
  <pageMargins left="0.6692913385826772" right="0.59055118110236227" top="0.92" bottom="0.6692913385826772" header="0.31496062992125984" footer="0.31496062992125984"/>
  <pageSetup paperSize="9" scale="70" orientation="portrait" r:id="rId1"/>
  <headerFooter>
    <oddHeader>&amp;R&amp;G</oddHeader>
    <oddFooter>&amp;LMHG-PU-F-0018&amp;CPPAP Template ; Rev.: 01/2019&amp;RJ.-U. Liedtke / PU-SD-GA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AJ61"/>
  <sheetViews>
    <sheetView showGridLines="0" zoomScaleNormal="100" workbookViewId="0">
      <selection activeCell="A7" sqref="A7:R9"/>
    </sheetView>
  </sheetViews>
  <sheetFormatPr baseColWidth="10" defaultColWidth="9.140625" defaultRowHeight="12.75"/>
  <cols>
    <col min="1" max="1" width="5.28515625" customWidth="1"/>
    <col min="2" max="6" width="3.42578125" customWidth="1"/>
    <col min="7" max="7" width="4.42578125" customWidth="1"/>
    <col min="8" max="8" width="5.28515625" customWidth="1"/>
    <col min="9" max="18" width="3.42578125" customWidth="1"/>
    <col min="19" max="22" width="3.7109375" customWidth="1"/>
    <col min="23" max="29" width="3.42578125" customWidth="1"/>
    <col min="30" max="31" width="3.5703125" customWidth="1"/>
    <col min="32" max="33" width="6.5703125" customWidth="1"/>
    <col min="35" max="35" width="9.7109375" customWidth="1"/>
  </cols>
  <sheetData>
    <row r="1" spans="1:35" ht="12.75" customHeight="1">
      <c r="A1" s="2"/>
      <c r="B1" s="2"/>
      <c r="C1" s="2"/>
      <c r="D1" s="2"/>
      <c r="E1" s="2"/>
      <c r="F1" s="2"/>
      <c r="G1" s="2"/>
      <c r="H1" s="2"/>
      <c r="I1" s="2"/>
      <c r="J1" s="2"/>
      <c r="K1" s="2"/>
      <c r="L1" s="2"/>
      <c r="M1" s="2"/>
      <c r="N1" s="2"/>
      <c r="O1" s="2"/>
      <c r="P1" s="690" t="str">
        <f>VLOOKUP("ppadimensionaltestresult",Translations!$A:$T,MATCH(PSW!AO7,Translations!A1:P1,0),0)</f>
        <v xml:space="preserve">Production Part Approval
Dimensional Test Results </v>
      </c>
      <c r="Q1" s="690"/>
      <c r="R1" s="690"/>
      <c r="S1" s="690"/>
      <c r="T1" s="690"/>
      <c r="U1" s="690"/>
      <c r="V1" s="690"/>
      <c r="W1" s="690"/>
      <c r="X1" s="690"/>
      <c r="Y1" s="690"/>
      <c r="Z1" s="690"/>
      <c r="AA1" s="690"/>
      <c r="AB1" s="690"/>
      <c r="AC1" s="690"/>
      <c r="AD1" s="690"/>
      <c r="AE1" s="690"/>
      <c r="AF1" s="690"/>
      <c r="AG1" s="114"/>
    </row>
    <row r="2" spans="1:35" ht="12.75" customHeight="1">
      <c r="A2" s="2"/>
      <c r="B2" s="2"/>
      <c r="C2" s="2"/>
      <c r="D2" s="2"/>
      <c r="E2" s="2"/>
      <c r="F2" s="2"/>
      <c r="G2" s="2"/>
      <c r="H2" s="2"/>
      <c r="I2" s="2"/>
      <c r="J2" s="2"/>
      <c r="K2" s="2"/>
      <c r="L2" s="2"/>
      <c r="M2" s="2"/>
      <c r="N2" s="2"/>
      <c r="O2" s="2"/>
      <c r="P2" s="690"/>
      <c r="Q2" s="690"/>
      <c r="R2" s="690"/>
      <c r="S2" s="690"/>
      <c r="T2" s="690"/>
      <c r="U2" s="690"/>
      <c r="V2" s="690"/>
      <c r="W2" s="690"/>
      <c r="X2" s="690"/>
      <c r="Y2" s="690"/>
      <c r="Z2" s="690"/>
      <c r="AA2" s="690"/>
      <c r="AB2" s="690"/>
      <c r="AC2" s="690"/>
      <c r="AD2" s="690"/>
      <c r="AE2" s="690"/>
      <c r="AF2" s="690"/>
      <c r="AG2" s="114"/>
    </row>
    <row r="3" spans="1:35" ht="13.5" customHeight="1" thickBot="1">
      <c r="A3" s="4"/>
      <c r="B3" s="4"/>
      <c r="C3" s="4"/>
      <c r="D3" s="4"/>
      <c r="E3" s="4"/>
      <c r="F3" s="4"/>
      <c r="G3" s="4"/>
      <c r="H3" s="4"/>
      <c r="I3" s="4"/>
      <c r="J3" s="4"/>
      <c r="K3" s="4"/>
      <c r="L3" s="4"/>
      <c r="M3" s="4"/>
      <c r="N3" s="4"/>
      <c r="O3" s="4"/>
      <c r="P3" s="691"/>
      <c r="Q3" s="691"/>
      <c r="R3" s="691"/>
      <c r="S3" s="691"/>
      <c r="T3" s="691"/>
      <c r="U3" s="691"/>
      <c r="V3" s="691"/>
      <c r="W3" s="691"/>
      <c r="X3" s="691"/>
      <c r="Y3" s="691"/>
      <c r="Z3" s="691"/>
      <c r="AA3" s="691"/>
      <c r="AB3" s="691"/>
      <c r="AC3" s="691"/>
      <c r="AD3" s="691"/>
      <c r="AE3" s="691"/>
      <c r="AF3" s="691"/>
      <c r="AG3" s="115"/>
    </row>
    <row r="4" spans="1:35" ht="13.5" customHeight="1">
      <c r="A4" s="603" t="str">
        <f>VLOOKUP("organization",Translations!$A:$T,MATCH(PSW!AO7,Translations!A1:P1,0),0)</f>
        <v>ORGANIZATION:</v>
      </c>
      <c r="B4" s="604"/>
      <c r="C4" s="604"/>
      <c r="D4" s="604"/>
      <c r="E4" s="607" t="str">
        <f>Content!H4</f>
        <v>?</v>
      </c>
      <c r="F4" s="607"/>
      <c r="G4" s="607"/>
      <c r="H4" s="607"/>
      <c r="I4" s="607"/>
      <c r="J4" s="607"/>
      <c r="K4" s="607"/>
      <c r="L4" s="607"/>
      <c r="M4" s="607"/>
      <c r="N4" s="607"/>
      <c r="O4" s="607"/>
      <c r="P4" s="607"/>
      <c r="Q4" s="607"/>
      <c r="R4" s="608"/>
      <c r="S4" s="603" t="str">
        <f>VLOOKUP("partnumber",Translations!$A:$T,MATCH(PSW!AO7,Translations!A1:P1,0),0)</f>
        <v>PART NUMBER:</v>
      </c>
      <c r="T4" s="604"/>
      <c r="U4" s="604"/>
      <c r="V4" s="604"/>
      <c r="W4" s="604"/>
      <c r="X4" s="607" t="str">
        <f>Content!Y4</f>
        <v>?</v>
      </c>
      <c r="Y4" s="607"/>
      <c r="Z4" s="607"/>
      <c r="AA4" s="607"/>
      <c r="AB4" s="607"/>
      <c r="AC4" s="607"/>
      <c r="AD4" s="607"/>
      <c r="AE4" s="607"/>
      <c r="AF4" s="607"/>
      <c r="AG4" s="608"/>
    </row>
    <row r="5" spans="1:35" ht="13.5" customHeight="1">
      <c r="A5" s="605" t="str">
        <f>VLOOKUP("suppliervendorcode",Translations!$A:$T,MATCH(PSW!AO7,Translations!A1:P1,0),0)</f>
        <v>SUPPLIER / VENDOR CODE:</v>
      </c>
      <c r="B5" s="606"/>
      <c r="C5" s="606"/>
      <c r="D5" s="606"/>
      <c r="E5" s="606"/>
      <c r="F5" s="606"/>
      <c r="G5" s="606"/>
      <c r="H5" s="606"/>
      <c r="I5" s="609" t="str">
        <f>Content!K5</f>
        <v>?</v>
      </c>
      <c r="J5" s="609"/>
      <c r="K5" s="609"/>
      <c r="L5" s="609"/>
      <c r="M5" s="609"/>
      <c r="N5" s="609"/>
      <c r="O5" s="609"/>
      <c r="P5" s="609"/>
      <c r="Q5" s="609"/>
      <c r="R5" s="610"/>
      <c r="S5" s="605" t="str">
        <f>VLOOKUP("partname",Translations!$A:$T,MATCH(PSW!AO7,Translations!A1:P1,0),0)</f>
        <v>PART NAME:</v>
      </c>
      <c r="T5" s="606"/>
      <c r="U5" s="606"/>
      <c r="V5" s="606"/>
      <c r="W5" s="606"/>
      <c r="X5" s="606"/>
      <c r="Y5" s="609" t="str">
        <f>Content!Z5</f>
        <v>?</v>
      </c>
      <c r="Z5" s="609"/>
      <c r="AA5" s="609"/>
      <c r="AB5" s="609"/>
      <c r="AC5" s="609"/>
      <c r="AD5" s="609"/>
      <c r="AE5" s="609"/>
      <c r="AF5" s="609"/>
      <c r="AG5" s="610"/>
    </row>
    <row r="6" spans="1:35" ht="13.5" customHeight="1">
      <c r="A6" s="605" t="str">
        <f>VLOOKUP("inspectionfacility",Translations!$A:$T,MATCH(PSW!AO7,Translations!A1:P1,0),0)</f>
        <v>INSPECTION FACILITY:</v>
      </c>
      <c r="B6" s="606"/>
      <c r="C6" s="606"/>
      <c r="D6" s="606"/>
      <c r="E6" s="606"/>
      <c r="F6" s="606"/>
      <c r="G6" s="606"/>
      <c r="H6" s="606"/>
      <c r="I6" s="609"/>
      <c r="J6" s="609"/>
      <c r="K6" s="609"/>
      <c r="L6" s="609"/>
      <c r="M6" s="609"/>
      <c r="N6" s="609"/>
      <c r="O6" s="609"/>
      <c r="P6" s="609"/>
      <c r="Q6" s="609"/>
      <c r="R6" s="610"/>
      <c r="S6" s="605" t="str">
        <f>VLOOKUP("designrecordchalevel",Translations!$A:$T,MATCH(PSW!AO7,Translations!A1:P1,0),0)</f>
        <v>DESIGN RECORD CHANGE LEVEL:</v>
      </c>
      <c r="T6" s="606"/>
      <c r="U6" s="606"/>
      <c r="V6" s="606"/>
      <c r="W6" s="606"/>
      <c r="X6" s="606"/>
      <c r="Y6" s="606"/>
      <c r="Z6" s="606"/>
      <c r="AA6" s="606"/>
      <c r="AB6" s="606"/>
      <c r="AC6" s="606"/>
      <c r="AD6" s="606"/>
      <c r="AE6" s="606"/>
      <c r="AF6" s="606"/>
      <c r="AG6" s="636"/>
    </row>
    <row r="7" spans="1:35" ht="13.5" customHeight="1">
      <c r="A7" s="611"/>
      <c r="B7" s="612"/>
      <c r="C7" s="612"/>
      <c r="D7" s="612"/>
      <c r="E7" s="612"/>
      <c r="F7" s="612"/>
      <c r="G7" s="612"/>
      <c r="H7" s="612"/>
      <c r="I7" s="612"/>
      <c r="J7" s="612"/>
      <c r="K7" s="612"/>
      <c r="L7" s="612"/>
      <c r="M7" s="612"/>
      <c r="N7" s="612"/>
      <c r="O7" s="612"/>
      <c r="P7" s="612"/>
      <c r="Q7" s="612"/>
      <c r="R7" s="613"/>
      <c r="S7" s="565" t="str">
        <f>Content!U7</f>
        <v>?</v>
      </c>
      <c r="T7" s="599"/>
      <c r="U7" s="599"/>
      <c r="V7" s="599"/>
      <c r="W7" s="599"/>
      <c r="X7" s="599"/>
      <c r="Y7" s="599"/>
      <c r="Z7" s="599"/>
      <c r="AA7" s="599"/>
      <c r="AB7" s="599"/>
      <c r="AC7" s="599"/>
      <c r="AD7" s="599"/>
      <c r="AE7" s="599"/>
      <c r="AF7" s="599"/>
      <c r="AG7" s="600"/>
    </row>
    <row r="8" spans="1:35" ht="13.5" customHeight="1">
      <c r="A8" s="611"/>
      <c r="B8" s="612"/>
      <c r="C8" s="612"/>
      <c r="D8" s="612"/>
      <c r="E8" s="612"/>
      <c r="F8" s="612"/>
      <c r="G8" s="612"/>
      <c r="H8" s="612"/>
      <c r="I8" s="612"/>
      <c r="J8" s="612"/>
      <c r="K8" s="612"/>
      <c r="L8" s="612"/>
      <c r="M8" s="612"/>
      <c r="N8" s="612"/>
      <c r="O8" s="612"/>
      <c r="P8" s="612"/>
      <c r="Q8" s="612"/>
      <c r="R8" s="613"/>
      <c r="S8" s="701" t="str">
        <f>VLOOKUP("engineeringchange",Translations!$A:$T,MATCH(PSW!AO7,Translations!A1:P1,0),0)</f>
        <v>ENGINEERING CHANGE DOCUMENTS:</v>
      </c>
      <c r="T8" s="702"/>
      <c r="U8" s="702"/>
      <c r="V8" s="702"/>
      <c r="W8" s="702"/>
      <c r="X8" s="702"/>
      <c r="Y8" s="702"/>
      <c r="Z8" s="702"/>
      <c r="AA8" s="702"/>
      <c r="AB8" s="702"/>
      <c r="AC8" s="702"/>
      <c r="AD8" s="702"/>
      <c r="AE8" s="702"/>
      <c r="AF8" s="702"/>
      <c r="AG8" s="703"/>
    </row>
    <row r="9" spans="1:35" ht="13.5" thickBot="1">
      <c r="A9" s="614"/>
      <c r="B9" s="615"/>
      <c r="C9" s="615"/>
      <c r="D9" s="615"/>
      <c r="E9" s="615"/>
      <c r="F9" s="615"/>
      <c r="G9" s="615"/>
      <c r="H9" s="615"/>
      <c r="I9" s="615"/>
      <c r="J9" s="615"/>
      <c r="K9" s="615"/>
      <c r="L9" s="615"/>
      <c r="M9" s="615"/>
      <c r="N9" s="615"/>
      <c r="O9" s="615"/>
      <c r="P9" s="615"/>
      <c r="Q9" s="615"/>
      <c r="R9" s="616"/>
      <c r="S9" s="565" t="str">
        <f>Content!U9</f>
        <v>?</v>
      </c>
      <c r="T9" s="599"/>
      <c r="U9" s="599"/>
      <c r="V9" s="599"/>
      <c r="W9" s="599"/>
      <c r="X9" s="599"/>
      <c r="Y9" s="599"/>
      <c r="Z9" s="599"/>
      <c r="AA9" s="599"/>
      <c r="AB9" s="599"/>
      <c r="AC9" s="599"/>
      <c r="AD9" s="599"/>
      <c r="AE9" s="599"/>
      <c r="AF9" s="599"/>
      <c r="AG9" s="600"/>
    </row>
    <row r="10" spans="1:35" ht="25.5" customHeight="1">
      <c r="A10" s="623" t="str">
        <f>VLOOKUP("item",Translations!$A:$T,MATCH(PSW!AO7,Translations!A1:P1,0),0)</f>
        <v>ITEM</v>
      </c>
      <c r="B10" s="645" t="str">
        <f>VLOOKUP("dimensionalspecification",Translations!$A:$T,MATCH(PSW!AO7,Translations!A1:P1,0),0)</f>
        <v>DIMENSION / SPECIFICATION</v>
      </c>
      <c r="C10" s="646"/>
      <c r="D10" s="646"/>
      <c r="E10" s="646"/>
      <c r="F10" s="646"/>
      <c r="G10" s="646"/>
      <c r="H10" s="646"/>
      <c r="I10" s="645" t="str">
        <f>VLOOKUP("suppliermeasurementdata",Translations!$A:$T,MATCH(PSW!AO7,Translations!A1:P1,0),0)</f>
        <v>SUPPLIER MEASUREMENT RESULTS (DATA)</v>
      </c>
      <c r="J10" s="646"/>
      <c r="K10" s="646"/>
      <c r="L10" s="646"/>
      <c r="M10" s="646"/>
      <c r="N10" s="646"/>
      <c r="O10" s="646"/>
      <c r="P10" s="646"/>
      <c r="Q10" s="646"/>
      <c r="R10" s="662"/>
      <c r="S10" s="655" t="str">
        <f>VLOOKUP("specificationfulfilled",Translations!$A:$T,MATCH(PSW!AO7,Translations!A1:P1,0),0)</f>
        <v>SPECIFICATION FULFILLED</v>
      </c>
      <c r="T10" s="656"/>
      <c r="U10" s="656"/>
      <c r="V10" s="657"/>
      <c r="W10" s="649" t="str">
        <f>VLOOKUP("comment",Translations!$A:$T,MATCH(PSW!AO7,Translations!A1:P1,0),0)</f>
        <v>COMMENT</v>
      </c>
      <c r="X10" s="650"/>
      <c r="Y10" s="650"/>
      <c r="Z10" s="650"/>
      <c r="AA10" s="650"/>
      <c r="AB10" s="651"/>
      <c r="AC10" s="617" t="str">
        <f>VLOOKUP("valuesm+h",Translations!$A:$T,MATCH(PSW!AO7,Translations!A1:P1,0),0)</f>
        <v>VALUES M+H</v>
      </c>
      <c r="AD10" s="621"/>
      <c r="AE10" s="618"/>
      <c r="AF10" s="617" t="str">
        <f>VLOOKUP("evaluationm+h",Translations!$A:$T,MATCH(PSW!AO7,Translations!A1:P1,0),0)</f>
        <v>EVALUATION M+H</v>
      </c>
      <c r="AG10" s="618"/>
      <c r="AH10" s="36"/>
      <c r="AI10" s="36"/>
    </row>
    <row r="11" spans="1:35" ht="25.5" customHeight="1" thickBot="1">
      <c r="A11" s="624"/>
      <c r="B11" s="647"/>
      <c r="C11" s="648"/>
      <c r="D11" s="648"/>
      <c r="E11" s="648"/>
      <c r="F11" s="648"/>
      <c r="G11" s="648"/>
      <c r="H11" s="648"/>
      <c r="I11" s="663">
        <v>1</v>
      </c>
      <c r="J11" s="601"/>
      <c r="K11" s="601">
        <v>2</v>
      </c>
      <c r="L11" s="601"/>
      <c r="M11" s="601">
        <v>3</v>
      </c>
      <c r="N11" s="601"/>
      <c r="O11" s="601">
        <v>4</v>
      </c>
      <c r="P11" s="601"/>
      <c r="Q11" s="601">
        <v>5</v>
      </c>
      <c r="R11" s="602"/>
      <c r="S11" s="658" t="str">
        <f>VLOOKUP("ok",Translations!$A:$T,MATCH(PSW!AO7,Translations!A1:P1,0),0)</f>
        <v>OK</v>
      </c>
      <c r="T11" s="659"/>
      <c r="U11" s="660" t="str">
        <f>VLOOKUP("notok",Translations!$A:$T,MATCH(PSW!AO7,Translations!A1:P1,0),0)</f>
        <v>NOT OK</v>
      </c>
      <c r="V11" s="661"/>
      <c r="W11" s="652"/>
      <c r="X11" s="653"/>
      <c r="Y11" s="653"/>
      <c r="Z11" s="653"/>
      <c r="AA11" s="653"/>
      <c r="AB11" s="654"/>
      <c r="AC11" s="619"/>
      <c r="AD11" s="622"/>
      <c r="AE11" s="620"/>
      <c r="AF11" s="619"/>
      <c r="AG11" s="620"/>
      <c r="AH11" s="36"/>
      <c r="AI11" s="36"/>
    </row>
    <row r="12" spans="1:35" ht="18" customHeight="1">
      <c r="A12" s="42"/>
      <c r="B12" s="633"/>
      <c r="C12" s="634"/>
      <c r="D12" s="634"/>
      <c r="E12" s="634"/>
      <c r="F12" s="634"/>
      <c r="G12" s="634"/>
      <c r="H12" s="635"/>
      <c r="I12" s="672"/>
      <c r="J12" s="625"/>
      <c r="K12" s="625"/>
      <c r="L12" s="625"/>
      <c r="M12" s="625"/>
      <c r="N12" s="625"/>
      <c r="O12" s="625"/>
      <c r="P12" s="625"/>
      <c r="Q12" s="625"/>
      <c r="R12" s="673"/>
      <c r="S12" s="670"/>
      <c r="T12" s="671"/>
      <c r="U12" s="677"/>
      <c r="V12" s="678"/>
      <c r="W12" s="664"/>
      <c r="X12" s="665"/>
      <c r="Y12" s="665"/>
      <c r="Z12" s="665"/>
      <c r="AA12" s="665"/>
      <c r="AB12" s="666"/>
      <c r="AC12" s="643"/>
      <c r="AD12" s="626"/>
      <c r="AE12" s="627"/>
      <c r="AF12" s="626"/>
      <c r="AG12" s="627"/>
    </row>
    <row r="13" spans="1:35" ht="18" customHeight="1">
      <c r="A13" s="43"/>
      <c r="B13" s="630"/>
      <c r="C13" s="631"/>
      <c r="D13" s="631"/>
      <c r="E13" s="631"/>
      <c r="F13" s="631"/>
      <c r="G13" s="631"/>
      <c r="H13" s="632"/>
      <c r="I13" s="590"/>
      <c r="J13" s="591"/>
      <c r="K13" s="591"/>
      <c r="L13" s="591"/>
      <c r="M13" s="591"/>
      <c r="N13" s="591"/>
      <c r="O13" s="591"/>
      <c r="P13" s="591"/>
      <c r="Q13" s="591"/>
      <c r="R13" s="592"/>
      <c r="S13" s="593"/>
      <c r="T13" s="594"/>
      <c r="U13" s="595"/>
      <c r="V13" s="596"/>
      <c r="W13" s="667"/>
      <c r="X13" s="668"/>
      <c r="Y13" s="668"/>
      <c r="Z13" s="668"/>
      <c r="AA13" s="668"/>
      <c r="AB13" s="669"/>
      <c r="AC13" s="593"/>
      <c r="AD13" s="642"/>
      <c r="AE13" s="596"/>
      <c r="AF13" s="628"/>
      <c r="AG13" s="629"/>
    </row>
    <row r="14" spans="1:35" ht="18" customHeight="1">
      <c r="A14" s="43"/>
      <c r="B14" s="587"/>
      <c r="C14" s="588"/>
      <c r="D14" s="588"/>
      <c r="E14" s="588"/>
      <c r="F14" s="588"/>
      <c r="G14" s="588"/>
      <c r="H14" s="589"/>
      <c r="I14" s="590"/>
      <c r="J14" s="591"/>
      <c r="K14" s="591"/>
      <c r="L14" s="591"/>
      <c r="M14" s="591"/>
      <c r="N14" s="591"/>
      <c r="O14" s="591"/>
      <c r="P14" s="591"/>
      <c r="Q14" s="591"/>
      <c r="R14" s="592"/>
      <c r="S14" s="593"/>
      <c r="T14" s="594"/>
      <c r="U14" s="595"/>
      <c r="V14" s="596"/>
      <c r="W14" s="597"/>
      <c r="X14" s="597"/>
      <c r="Y14" s="597"/>
      <c r="Z14" s="597"/>
      <c r="AA14" s="597"/>
      <c r="AB14" s="598"/>
      <c r="AC14" s="593"/>
      <c r="AD14" s="642"/>
      <c r="AE14" s="596"/>
      <c r="AF14" s="628"/>
      <c r="AG14" s="629"/>
    </row>
    <row r="15" spans="1:35" ht="18" customHeight="1">
      <c r="A15" s="43"/>
      <c r="B15" s="587"/>
      <c r="C15" s="588"/>
      <c r="D15" s="588"/>
      <c r="E15" s="588"/>
      <c r="F15" s="588"/>
      <c r="G15" s="588"/>
      <c r="H15" s="589"/>
      <c r="I15" s="590"/>
      <c r="J15" s="591"/>
      <c r="K15" s="591"/>
      <c r="L15" s="591"/>
      <c r="M15" s="591"/>
      <c r="N15" s="591"/>
      <c r="O15" s="591"/>
      <c r="P15" s="591"/>
      <c r="Q15" s="591"/>
      <c r="R15" s="592"/>
      <c r="S15" s="593"/>
      <c r="T15" s="594"/>
      <c r="U15" s="595"/>
      <c r="V15" s="596"/>
      <c r="W15" s="597"/>
      <c r="X15" s="597"/>
      <c r="Y15" s="597"/>
      <c r="Z15" s="597"/>
      <c r="AA15" s="597"/>
      <c r="AB15" s="598"/>
      <c r="AC15" s="593"/>
      <c r="AD15" s="642"/>
      <c r="AE15" s="596"/>
      <c r="AF15" s="628"/>
      <c r="AG15" s="629"/>
    </row>
    <row r="16" spans="1:35" ht="18" customHeight="1">
      <c r="A16" s="43"/>
      <c r="B16" s="587"/>
      <c r="C16" s="588"/>
      <c r="D16" s="588"/>
      <c r="E16" s="588"/>
      <c r="F16" s="588"/>
      <c r="G16" s="588"/>
      <c r="H16" s="589"/>
      <c r="I16" s="590"/>
      <c r="J16" s="591"/>
      <c r="K16" s="591"/>
      <c r="L16" s="591"/>
      <c r="M16" s="591"/>
      <c r="N16" s="591"/>
      <c r="O16" s="591"/>
      <c r="P16" s="591"/>
      <c r="Q16" s="591"/>
      <c r="R16" s="592"/>
      <c r="S16" s="593"/>
      <c r="T16" s="594"/>
      <c r="U16" s="595"/>
      <c r="V16" s="596"/>
      <c r="W16" s="597"/>
      <c r="X16" s="597"/>
      <c r="Y16" s="597"/>
      <c r="Z16" s="597"/>
      <c r="AA16" s="597"/>
      <c r="AB16" s="598"/>
      <c r="AC16" s="593"/>
      <c r="AD16" s="642"/>
      <c r="AE16" s="596"/>
      <c r="AF16" s="628"/>
      <c r="AG16" s="629"/>
    </row>
    <row r="17" spans="1:36" ht="18" customHeight="1">
      <c r="A17" s="43"/>
      <c r="B17" s="587"/>
      <c r="C17" s="588"/>
      <c r="D17" s="588"/>
      <c r="E17" s="588"/>
      <c r="F17" s="588"/>
      <c r="G17" s="588"/>
      <c r="H17" s="589"/>
      <c r="I17" s="590"/>
      <c r="J17" s="591"/>
      <c r="K17" s="591"/>
      <c r="L17" s="591"/>
      <c r="M17" s="591"/>
      <c r="N17" s="591"/>
      <c r="O17" s="591"/>
      <c r="P17" s="591"/>
      <c r="Q17" s="591"/>
      <c r="R17" s="592"/>
      <c r="S17" s="593"/>
      <c r="T17" s="594"/>
      <c r="U17" s="642"/>
      <c r="V17" s="596"/>
      <c r="W17" s="597"/>
      <c r="X17" s="597"/>
      <c r="Y17" s="597"/>
      <c r="Z17" s="597"/>
      <c r="AA17" s="597"/>
      <c r="AB17" s="598"/>
      <c r="AC17" s="593"/>
      <c r="AD17" s="642"/>
      <c r="AE17" s="596"/>
      <c r="AF17" s="628"/>
      <c r="AG17" s="629"/>
    </row>
    <row r="18" spans="1:36" ht="18" customHeight="1">
      <c r="A18" s="43"/>
      <c r="B18" s="587"/>
      <c r="C18" s="588"/>
      <c r="D18" s="588"/>
      <c r="E18" s="588"/>
      <c r="F18" s="588"/>
      <c r="G18" s="588"/>
      <c r="H18" s="589"/>
      <c r="I18" s="590"/>
      <c r="J18" s="591"/>
      <c r="K18" s="591"/>
      <c r="L18" s="591"/>
      <c r="M18" s="591"/>
      <c r="N18" s="591"/>
      <c r="O18" s="591"/>
      <c r="P18" s="591"/>
      <c r="Q18" s="591"/>
      <c r="R18" s="592"/>
      <c r="S18" s="593"/>
      <c r="T18" s="594"/>
      <c r="U18" s="595"/>
      <c r="V18" s="596"/>
      <c r="W18" s="597"/>
      <c r="X18" s="597"/>
      <c r="Y18" s="597"/>
      <c r="Z18" s="597"/>
      <c r="AA18" s="597"/>
      <c r="AB18" s="598"/>
      <c r="AC18" s="593"/>
      <c r="AD18" s="642"/>
      <c r="AE18" s="596"/>
      <c r="AF18" s="628"/>
      <c r="AG18" s="629"/>
    </row>
    <row r="19" spans="1:36" ht="18" customHeight="1">
      <c r="A19" s="43"/>
      <c r="B19" s="587"/>
      <c r="C19" s="588"/>
      <c r="D19" s="588"/>
      <c r="E19" s="588"/>
      <c r="F19" s="588"/>
      <c r="G19" s="588"/>
      <c r="H19" s="589"/>
      <c r="I19" s="590"/>
      <c r="J19" s="591"/>
      <c r="K19" s="591"/>
      <c r="L19" s="591"/>
      <c r="M19" s="591"/>
      <c r="N19" s="591"/>
      <c r="O19" s="591"/>
      <c r="P19" s="591"/>
      <c r="Q19" s="591"/>
      <c r="R19" s="592"/>
      <c r="S19" s="593"/>
      <c r="T19" s="594"/>
      <c r="U19" s="595"/>
      <c r="V19" s="596"/>
      <c r="W19" s="597"/>
      <c r="X19" s="597"/>
      <c r="Y19" s="597"/>
      <c r="Z19" s="597"/>
      <c r="AA19" s="597"/>
      <c r="AB19" s="598"/>
      <c r="AC19" s="593"/>
      <c r="AD19" s="642"/>
      <c r="AE19" s="596"/>
      <c r="AF19" s="628"/>
      <c r="AG19" s="629"/>
      <c r="AJ19" s="35" t="s">
        <v>293</v>
      </c>
    </row>
    <row r="20" spans="1:36" ht="18" customHeight="1">
      <c r="A20" s="43"/>
      <c r="B20" s="587"/>
      <c r="C20" s="588"/>
      <c r="D20" s="588"/>
      <c r="E20" s="588"/>
      <c r="F20" s="588"/>
      <c r="G20" s="588"/>
      <c r="H20" s="589"/>
      <c r="I20" s="590"/>
      <c r="J20" s="591"/>
      <c r="K20" s="591"/>
      <c r="L20" s="591"/>
      <c r="M20" s="591"/>
      <c r="N20" s="591"/>
      <c r="O20" s="591"/>
      <c r="P20" s="591"/>
      <c r="Q20" s="591"/>
      <c r="R20" s="592"/>
      <c r="S20" s="593"/>
      <c r="T20" s="594"/>
      <c r="U20" s="595"/>
      <c r="V20" s="596"/>
      <c r="W20" s="597"/>
      <c r="X20" s="597"/>
      <c r="Y20" s="597"/>
      <c r="Z20" s="597"/>
      <c r="AA20" s="597"/>
      <c r="AB20" s="598"/>
      <c r="AC20" s="593"/>
      <c r="AD20" s="642"/>
      <c r="AE20" s="596"/>
      <c r="AF20" s="628"/>
      <c r="AG20" s="629"/>
    </row>
    <row r="21" spans="1:36" ht="18" customHeight="1">
      <c r="A21" s="43"/>
      <c r="B21" s="587"/>
      <c r="C21" s="588"/>
      <c r="D21" s="588"/>
      <c r="E21" s="588"/>
      <c r="F21" s="588"/>
      <c r="G21" s="588"/>
      <c r="H21" s="589"/>
      <c r="I21" s="590"/>
      <c r="J21" s="591"/>
      <c r="K21" s="591"/>
      <c r="L21" s="591"/>
      <c r="M21" s="591"/>
      <c r="N21" s="591"/>
      <c r="O21" s="591"/>
      <c r="P21" s="591"/>
      <c r="Q21" s="591"/>
      <c r="R21" s="592"/>
      <c r="S21" s="593"/>
      <c r="T21" s="594"/>
      <c r="U21" s="595"/>
      <c r="V21" s="596"/>
      <c r="W21" s="597"/>
      <c r="X21" s="597"/>
      <c r="Y21" s="597"/>
      <c r="Z21" s="597"/>
      <c r="AA21" s="597"/>
      <c r="AB21" s="598"/>
      <c r="AC21" s="593"/>
      <c r="AD21" s="642"/>
      <c r="AE21" s="596"/>
      <c r="AF21" s="628"/>
      <c r="AG21" s="629"/>
    </row>
    <row r="22" spans="1:36" ht="18" customHeight="1">
      <c r="A22" s="43"/>
      <c r="B22" s="587"/>
      <c r="C22" s="588"/>
      <c r="D22" s="588"/>
      <c r="E22" s="588"/>
      <c r="F22" s="588"/>
      <c r="G22" s="588"/>
      <c r="H22" s="589"/>
      <c r="I22" s="590"/>
      <c r="J22" s="591"/>
      <c r="K22" s="591"/>
      <c r="L22" s="591"/>
      <c r="M22" s="591"/>
      <c r="N22" s="591"/>
      <c r="O22" s="591"/>
      <c r="P22" s="591"/>
      <c r="Q22" s="591"/>
      <c r="R22" s="592"/>
      <c r="S22" s="593"/>
      <c r="T22" s="594"/>
      <c r="U22" s="595"/>
      <c r="V22" s="596"/>
      <c r="W22" s="597"/>
      <c r="X22" s="597"/>
      <c r="Y22" s="597"/>
      <c r="Z22" s="597"/>
      <c r="AA22" s="597"/>
      <c r="AB22" s="598"/>
      <c r="AC22" s="593"/>
      <c r="AD22" s="642"/>
      <c r="AE22" s="596"/>
      <c r="AF22" s="628"/>
      <c r="AG22" s="629"/>
    </row>
    <row r="23" spans="1:36" ht="18" customHeight="1">
      <c r="A23" s="43"/>
      <c r="B23" s="587"/>
      <c r="C23" s="588"/>
      <c r="D23" s="588"/>
      <c r="E23" s="588"/>
      <c r="F23" s="588"/>
      <c r="G23" s="588"/>
      <c r="H23" s="589"/>
      <c r="I23" s="590"/>
      <c r="J23" s="591"/>
      <c r="K23" s="591"/>
      <c r="L23" s="591"/>
      <c r="M23" s="591"/>
      <c r="N23" s="591"/>
      <c r="O23" s="591"/>
      <c r="P23" s="591"/>
      <c r="Q23" s="591"/>
      <c r="R23" s="592"/>
      <c r="S23" s="593"/>
      <c r="T23" s="594"/>
      <c r="U23" s="595"/>
      <c r="V23" s="596"/>
      <c r="W23" s="597"/>
      <c r="X23" s="597"/>
      <c r="Y23" s="597"/>
      <c r="Z23" s="597"/>
      <c r="AA23" s="597"/>
      <c r="AB23" s="598"/>
      <c r="AC23" s="593"/>
      <c r="AD23" s="642"/>
      <c r="AE23" s="596"/>
      <c r="AF23" s="628"/>
      <c r="AG23" s="629"/>
    </row>
    <row r="24" spans="1:36" ht="18" customHeight="1">
      <c r="A24" s="43"/>
      <c r="B24" s="587"/>
      <c r="C24" s="588"/>
      <c r="D24" s="588"/>
      <c r="E24" s="588"/>
      <c r="F24" s="588"/>
      <c r="G24" s="588"/>
      <c r="H24" s="589"/>
      <c r="I24" s="590"/>
      <c r="J24" s="591"/>
      <c r="K24" s="591"/>
      <c r="L24" s="591"/>
      <c r="M24" s="591"/>
      <c r="N24" s="591"/>
      <c r="O24" s="591"/>
      <c r="P24" s="591"/>
      <c r="Q24" s="591"/>
      <c r="R24" s="592"/>
      <c r="S24" s="593"/>
      <c r="T24" s="594"/>
      <c r="U24" s="595"/>
      <c r="V24" s="596"/>
      <c r="W24" s="597"/>
      <c r="X24" s="597"/>
      <c r="Y24" s="597"/>
      <c r="Z24" s="597"/>
      <c r="AA24" s="597"/>
      <c r="AB24" s="598"/>
      <c r="AC24" s="593"/>
      <c r="AD24" s="642"/>
      <c r="AE24" s="596"/>
      <c r="AF24" s="628"/>
      <c r="AG24" s="629"/>
    </row>
    <row r="25" spans="1:36" ht="18" customHeight="1">
      <c r="A25" s="43"/>
      <c r="B25" s="587"/>
      <c r="C25" s="588"/>
      <c r="D25" s="588"/>
      <c r="E25" s="588"/>
      <c r="F25" s="588"/>
      <c r="G25" s="588"/>
      <c r="H25" s="589"/>
      <c r="I25" s="590"/>
      <c r="J25" s="591"/>
      <c r="K25" s="591"/>
      <c r="L25" s="591"/>
      <c r="M25" s="591"/>
      <c r="N25" s="591"/>
      <c r="O25" s="591"/>
      <c r="P25" s="591"/>
      <c r="Q25" s="591"/>
      <c r="R25" s="592"/>
      <c r="S25" s="593"/>
      <c r="T25" s="594"/>
      <c r="U25" s="595"/>
      <c r="V25" s="596"/>
      <c r="W25" s="597"/>
      <c r="X25" s="597"/>
      <c r="Y25" s="597"/>
      <c r="Z25" s="597"/>
      <c r="AA25" s="597"/>
      <c r="AB25" s="598"/>
      <c r="AC25" s="593"/>
      <c r="AD25" s="642"/>
      <c r="AE25" s="596"/>
      <c r="AF25" s="628"/>
      <c r="AG25" s="629"/>
    </row>
    <row r="26" spans="1:36" ht="18" customHeight="1">
      <c r="A26" s="43"/>
      <c r="B26" s="587"/>
      <c r="C26" s="588"/>
      <c r="D26" s="588"/>
      <c r="E26" s="588"/>
      <c r="F26" s="588"/>
      <c r="G26" s="588"/>
      <c r="H26" s="589"/>
      <c r="I26" s="590"/>
      <c r="J26" s="591"/>
      <c r="K26" s="591"/>
      <c r="L26" s="591"/>
      <c r="M26" s="591"/>
      <c r="N26" s="591"/>
      <c r="O26" s="591"/>
      <c r="P26" s="591"/>
      <c r="Q26" s="591"/>
      <c r="R26" s="592"/>
      <c r="S26" s="593"/>
      <c r="T26" s="594"/>
      <c r="U26" s="595"/>
      <c r="V26" s="596"/>
      <c r="W26" s="597"/>
      <c r="X26" s="597"/>
      <c r="Y26" s="597"/>
      <c r="Z26" s="597"/>
      <c r="AA26" s="597"/>
      <c r="AB26" s="598"/>
      <c r="AC26" s="593"/>
      <c r="AD26" s="642"/>
      <c r="AE26" s="596"/>
      <c r="AF26" s="628"/>
      <c r="AG26" s="629"/>
    </row>
    <row r="27" spans="1:36" ht="18" customHeight="1">
      <c r="A27" s="43"/>
      <c r="B27" s="587"/>
      <c r="C27" s="588"/>
      <c r="D27" s="588"/>
      <c r="E27" s="588"/>
      <c r="F27" s="588"/>
      <c r="G27" s="588"/>
      <c r="H27" s="589"/>
      <c r="I27" s="590"/>
      <c r="J27" s="591"/>
      <c r="K27" s="591"/>
      <c r="L27" s="591"/>
      <c r="M27" s="591"/>
      <c r="N27" s="591"/>
      <c r="O27" s="591"/>
      <c r="P27" s="591"/>
      <c r="Q27" s="591"/>
      <c r="R27" s="592"/>
      <c r="S27" s="593"/>
      <c r="T27" s="594"/>
      <c r="U27" s="595"/>
      <c r="V27" s="596"/>
      <c r="W27" s="597"/>
      <c r="X27" s="597"/>
      <c r="Y27" s="597"/>
      <c r="Z27" s="597"/>
      <c r="AA27" s="597"/>
      <c r="AB27" s="598"/>
      <c r="AC27" s="593"/>
      <c r="AD27" s="642"/>
      <c r="AE27" s="596"/>
      <c r="AF27" s="628"/>
      <c r="AG27" s="629"/>
    </row>
    <row r="28" spans="1:36" ht="18" customHeight="1">
      <c r="A28" s="43"/>
      <c r="B28" s="587"/>
      <c r="C28" s="588"/>
      <c r="D28" s="588"/>
      <c r="E28" s="588"/>
      <c r="F28" s="588"/>
      <c r="G28" s="588"/>
      <c r="H28" s="589"/>
      <c r="I28" s="590"/>
      <c r="J28" s="591"/>
      <c r="K28" s="591"/>
      <c r="L28" s="591"/>
      <c r="M28" s="591"/>
      <c r="N28" s="591"/>
      <c r="O28" s="591"/>
      <c r="P28" s="591"/>
      <c r="Q28" s="591"/>
      <c r="R28" s="592"/>
      <c r="S28" s="593"/>
      <c r="T28" s="594"/>
      <c r="U28" s="595"/>
      <c r="V28" s="596"/>
      <c r="W28" s="597"/>
      <c r="X28" s="597"/>
      <c r="Y28" s="597"/>
      <c r="Z28" s="597"/>
      <c r="AA28" s="597"/>
      <c r="AB28" s="598"/>
      <c r="AC28" s="593"/>
      <c r="AD28" s="642"/>
      <c r="AE28" s="596"/>
      <c r="AF28" s="628"/>
      <c r="AG28" s="629"/>
    </row>
    <row r="29" spans="1:36" ht="18" customHeight="1">
      <c r="A29" s="43"/>
      <c r="B29" s="587"/>
      <c r="C29" s="588"/>
      <c r="D29" s="588"/>
      <c r="E29" s="588"/>
      <c r="F29" s="588"/>
      <c r="G29" s="588"/>
      <c r="H29" s="589"/>
      <c r="I29" s="590"/>
      <c r="J29" s="591"/>
      <c r="K29" s="591"/>
      <c r="L29" s="591"/>
      <c r="M29" s="591"/>
      <c r="N29" s="591"/>
      <c r="O29" s="591"/>
      <c r="P29" s="591"/>
      <c r="Q29" s="591"/>
      <c r="R29" s="592"/>
      <c r="S29" s="593"/>
      <c r="T29" s="594"/>
      <c r="U29" s="595"/>
      <c r="V29" s="596"/>
      <c r="W29" s="597"/>
      <c r="X29" s="597"/>
      <c r="Y29" s="597"/>
      <c r="Z29" s="597"/>
      <c r="AA29" s="597"/>
      <c r="AB29" s="598"/>
      <c r="AC29" s="593"/>
      <c r="AD29" s="642"/>
      <c r="AE29" s="596"/>
      <c r="AF29" s="628"/>
      <c r="AG29" s="629"/>
    </row>
    <row r="30" spans="1:36" ht="18" customHeight="1">
      <c r="A30" s="43"/>
      <c r="B30" s="587"/>
      <c r="C30" s="588"/>
      <c r="D30" s="588"/>
      <c r="E30" s="588"/>
      <c r="F30" s="588"/>
      <c r="G30" s="588"/>
      <c r="H30" s="589"/>
      <c r="I30" s="590"/>
      <c r="J30" s="591"/>
      <c r="K30" s="591"/>
      <c r="L30" s="591"/>
      <c r="M30" s="591"/>
      <c r="N30" s="591"/>
      <c r="O30" s="591"/>
      <c r="P30" s="591"/>
      <c r="Q30" s="591"/>
      <c r="R30" s="592"/>
      <c r="S30" s="593"/>
      <c r="T30" s="594"/>
      <c r="U30" s="595"/>
      <c r="V30" s="596"/>
      <c r="W30" s="597"/>
      <c r="X30" s="597"/>
      <c r="Y30" s="597"/>
      <c r="Z30" s="597"/>
      <c r="AA30" s="597"/>
      <c r="AB30" s="598"/>
      <c r="AC30" s="593"/>
      <c r="AD30" s="642"/>
      <c r="AE30" s="596"/>
      <c r="AF30" s="628"/>
      <c r="AG30" s="629"/>
    </row>
    <row r="31" spans="1:36" ht="18" customHeight="1">
      <c r="A31" s="43"/>
      <c r="B31" s="587"/>
      <c r="C31" s="588"/>
      <c r="D31" s="588"/>
      <c r="E31" s="588"/>
      <c r="F31" s="588"/>
      <c r="G31" s="588"/>
      <c r="H31" s="589"/>
      <c r="I31" s="590"/>
      <c r="J31" s="591"/>
      <c r="K31" s="591"/>
      <c r="L31" s="591"/>
      <c r="M31" s="591"/>
      <c r="N31" s="591"/>
      <c r="O31" s="591"/>
      <c r="P31" s="591"/>
      <c r="Q31" s="591"/>
      <c r="R31" s="592"/>
      <c r="S31" s="593"/>
      <c r="T31" s="594"/>
      <c r="U31" s="595"/>
      <c r="V31" s="596"/>
      <c r="W31" s="597"/>
      <c r="X31" s="597"/>
      <c r="Y31" s="597"/>
      <c r="Z31" s="597"/>
      <c r="AA31" s="597"/>
      <c r="AB31" s="598"/>
      <c r="AC31" s="593"/>
      <c r="AD31" s="642"/>
      <c r="AE31" s="596"/>
      <c r="AF31" s="628"/>
      <c r="AG31" s="629"/>
    </row>
    <row r="32" spans="1:36" ht="18" customHeight="1">
      <c r="A32" s="43"/>
      <c r="B32" s="587"/>
      <c r="C32" s="588"/>
      <c r="D32" s="588"/>
      <c r="E32" s="588"/>
      <c r="F32" s="588"/>
      <c r="G32" s="588"/>
      <c r="H32" s="589"/>
      <c r="I32" s="590"/>
      <c r="J32" s="591"/>
      <c r="K32" s="591"/>
      <c r="L32" s="591"/>
      <c r="M32" s="591"/>
      <c r="N32" s="591"/>
      <c r="O32" s="591"/>
      <c r="P32" s="591"/>
      <c r="Q32" s="591"/>
      <c r="R32" s="592"/>
      <c r="S32" s="593"/>
      <c r="T32" s="594"/>
      <c r="U32" s="595"/>
      <c r="V32" s="596"/>
      <c r="W32" s="597"/>
      <c r="X32" s="597"/>
      <c r="Y32" s="597"/>
      <c r="Z32" s="597"/>
      <c r="AA32" s="597"/>
      <c r="AB32" s="598"/>
      <c r="AC32" s="593"/>
      <c r="AD32" s="642"/>
      <c r="AE32" s="596"/>
      <c r="AF32" s="628"/>
      <c r="AG32" s="629"/>
    </row>
    <row r="33" spans="1:33" ht="18" customHeight="1">
      <c r="A33" s="43"/>
      <c r="B33" s="587"/>
      <c r="C33" s="588"/>
      <c r="D33" s="588"/>
      <c r="E33" s="588"/>
      <c r="F33" s="588"/>
      <c r="G33" s="588"/>
      <c r="H33" s="589"/>
      <c r="I33" s="590"/>
      <c r="J33" s="591"/>
      <c r="K33" s="591"/>
      <c r="L33" s="591"/>
      <c r="M33" s="591"/>
      <c r="N33" s="591"/>
      <c r="O33" s="591"/>
      <c r="P33" s="591"/>
      <c r="Q33" s="591"/>
      <c r="R33" s="592"/>
      <c r="S33" s="593"/>
      <c r="T33" s="594"/>
      <c r="U33" s="595"/>
      <c r="V33" s="596"/>
      <c r="W33" s="597"/>
      <c r="X33" s="597"/>
      <c r="Y33" s="597"/>
      <c r="Z33" s="597"/>
      <c r="AA33" s="597"/>
      <c r="AB33" s="598"/>
      <c r="AC33" s="593"/>
      <c r="AD33" s="642"/>
      <c r="AE33" s="596"/>
      <c r="AF33" s="628"/>
      <c r="AG33" s="629"/>
    </row>
    <row r="34" spans="1:33" ht="18" customHeight="1">
      <c r="A34" s="43"/>
      <c r="B34" s="587"/>
      <c r="C34" s="588"/>
      <c r="D34" s="588"/>
      <c r="E34" s="588"/>
      <c r="F34" s="588"/>
      <c r="G34" s="588"/>
      <c r="H34" s="589"/>
      <c r="I34" s="590"/>
      <c r="J34" s="591"/>
      <c r="K34" s="591"/>
      <c r="L34" s="591"/>
      <c r="M34" s="591"/>
      <c r="N34" s="591"/>
      <c r="O34" s="591"/>
      <c r="P34" s="591"/>
      <c r="Q34" s="591"/>
      <c r="R34" s="592"/>
      <c r="S34" s="593"/>
      <c r="T34" s="594"/>
      <c r="U34" s="595"/>
      <c r="V34" s="596"/>
      <c r="W34" s="597"/>
      <c r="X34" s="597"/>
      <c r="Y34" s="597"/>
      <c r="Z34" s="597"/>
      <c r="AA34" s="597"/>
      <c r="AB34" s="598"/>
      <c r="AC34" s="593"/>
      <c r="AD34" s="642"/>
      <c r="AE34" s="596"/>
      <c r="AF34" s="628"/>
      <c r="AG34" s="629"/>
    </row>
    <row r="35" spans="1:33" ht="18" customHeight="1">
      <c r="A35" s="43"/>
      <c r="B35" s="587"/>
      <c r="C35" s="588"/>
      <c r="D35" s="588"/>
      <c r="E35" s="588"/>
      <c r="F35" s="588"/>
      <c r="G35" s="588"/>
      <c r="H35" s="589"/>
      <c r="I35" s="590"/>
      <c r="J35" s="591"/>
      <c r="K35" s="591"/>
      <c r="L35" s="591"/>
      <c r="M35" s="591"/>
      <c r="N35" s="591"/>
      <c r="O35" s="591"/>
      <c r="P35" s="591"/>
      <c r="Q35" s="591"/>
      <c r="R35" s="592"/>
      <c r="S35" s="593"/>
      <c r="T35" s="594"/>
      <c r="U35" s="595"/>
      <c r="V35" s="596"/>
      <c r="W35" s="597"/>
      <c r="X35" s="597"/>
      <c r="Y35" s="597"/>
      <c r="Z35" s="597"/>
      <c r="AA35" s="597"/>
      <c r="AB35" s="598"/>
      <c r="AC35" s="593"/>
      <c r="AD35" s="642"/>
      <c r="AE35" s="596"/>
      <c r="AF35" s="628"/>
      <c r="AG35" s="629"/>
    </row>
    <row r="36" spans="1:33" ht="18" customHeight="1">
      <c r="A36" s="43"/>
      <c r="B36" s="587"/>
      <c r="C36" s="588"/>
      <c r="D36" s="588"/>
      <c r="E36" s="588"/>
      <c r="F36" s="588"/>
      <c r="G36" s="588"/>
      <c r="H36" s="589"/>
      <c r="I36" s="590"/>
      <c r="J36" s="591"/>
      <c r="K36" s="591"/>
      <c r="L36" s="591"/>
      <c r="M36" s="591"/>
      <c r="N36" s="591"/>
      <c r="O36" s="591"/>
      <c r="P36" s="591"/>
      <c r="Q36" s="591"/>
      <c r="R36" s="592"/>
      <c r="S36" s="593"/>
      <c r="T36" s="594"/>
      <c r="U36" s="595"/>
      <c r="V36" s="596"/>
      <c r="W36" s="597"/>
      <c r="X36" s="597"/>
      <c r="Y36" s="597"/>
      <c r="Z36" s="597"/>
      <c r="AA36" s="597"/>
      <c r="AB36" s="598"/>
      <c r="AC36" s="593"/>
      <c r="AD36" s="642"/>
      <c r="AE36" s="596"/>
      <c r="AF36" s="628"/>
      <c r="AG36" s="629"/>
    </row>
    <row r="37" spans="1:33" ht="18" customHeight="1">
      <c r="A37" s="43"/>
      <c r="B37" s="587"/>
      <c r="C37" s="588"/>
      <c r="D37" s="588"/>
      <c r="E37" s="588"/>
      <c r="F37" s="588"/>
      <c r="G37" s="588"/>
      <c r="H37" s="589"/>
      <c r="I37" s="590"/>
      <c r="J37" s="591"/>
      <c r="K37" s="591"/>
      <c r="L37" s="591"/>
      <c r="M37" s="591"/>
      <c r="N37" s="591"/>
      <c r="O37" s="591"/>
      <c r="P37" s="591"/>
      <c r="Q37" s="591"/>
      <c r="R37" s="592"/>
      <c r="S37" s="593"/>
      <c r="T37" s="594"/>
      <c r="U37" s="595"/>
      <c r="V37" s="596"/>
      <c r="W37" s="597"/>
      <c r="X37" s="597"/>
      <c r="Y37" s="597"/>
      <c r="Z37" s="597"/>
      <c r="AA37" s="597"/>
      <c r="AB37" s="598"/>
      <c r="AC37" s="593"/>
      <c r="AD37" s="642"/>
      <c r="AE37" s="596"/>
      <c r="AF37" s="628"/>
      <c r="AG37" s="629"/>
    </row>
    <row r="38" spans="1:33" ht="18" customHeight="1">
      <c r="A38" s="43"/>
      <c r="B38" s="587"/>
      <c r="C38" s="588"/>
      <c r="D38" s="588"/>
      <c r="E38" s="588"/>
      <c r="F38" s="588"/>
      <c r="G38" s="588"/>
      <c r="H38" s="589"/>
      <c r="I38" s="590"/>
      <c r="J38" s="591"/>
      <c r="K38" s="591"/>
      <c r="L38" s="591"/>
      <c r="M38" s="591"/>
      <c r="N38" s="591"/>
      <c r="O38" s="591"/>
      <c r="P38" s="591"/>
      <c r="Q38" s="591"/>
      <c r="R38" s="592"/>
      <c r="S38" s="593"/>
      <c r="T38" s="594"/>
      <c r="U38" s="595"/>
      <c r="V38" s="596"/>
      <c r="W38" s="597"/>
      <c r="X38" s="597"/>
      <c r="Y38" s="597"/>
      <c r="Z38" s="597"/>
      <c r="AA38" s="597"/>
      <c r="AB38" s="598"/>
      <c r="AC38" s="593"/>
      <c r="AD38" s="642"/>
      <c r="AE38" s="596"/>
      <c r="AF38" s="628"/>
      <c r="AG38" s="629"/>
    </row>
    <row r="39" spans="1:33" ht="18" customHeight="1">
      <c r="A39" s="43"/>
      <c r="B39" s="587"/>
      <c r="C39" s="588"/>
      <c r="D39" s="588"/>
      <c r="E39" s="588"/>
      <c r="F39" s="588"/>
      <c r="G39" s="588"/>
      <c r="H39" s="589"/>
      <c r="I39" s="590"/>
      <c r="J39" s="591"/>
      <c r="K39" s="591"/>
      <c r="L39" s="591"/>
      <c r="M39" s="591"/>
      <c r="N39" s="591"/>
      <c r="O39" s="591"/>
      <c r="P39" s="591"/>
      <c r="Q39" s="591"/>
      <c r="R39" s="592"/>
      <c r="S39" s="593"/>
      <c r="T39" s="594"/>
      <c r="U39" s="595"/>
      <c r="V39" s="596"/>
      <c r="W39" s="597"/>
      <c r="X39" s="597"/>
      <c r="Y39" s="597"/>
      <c r="Z39" s="597"/>
      <c r="AA39" s="597"/>
      <c r="AB39" s="598"/>
      <c r="AC39" s="593"/>
      <c r="AD39" s="642"/>
      <c r="AE39" s="596"/>
      <c r="AF39" s="628"/>
      <c r="AG39" s="629"/>
    </row>
    <row r="40" spans="1:33" ht="18" customHeight="1">
      <c r="A40" s="43"/>
      <c r="B40" s="587"/>
      <c r="C40" s="588"/>
      <c r="D40" s="588"/>
      <c r="E40" s="588"/>
      <c r="F40" s="588"/>
      <c r="G40" s="588"/>
      <c r="H40" s="589"/>
      <c r="I40" s="590"/>
      <c r="J40" s="591"/>
      <c r="K40" s="591"/>
      <c r="L40" s="591"/>
      <c r="M40" s="591"/>
      <c r="N40" s="591"/>
      <c r="O40" s="591"/>
      <c r="P40" s="591"/>
      <c r="Q40" s="591"/>
      <c r="R40" s="592"/>
      <c r="S40" s="593"/>
      <c r="T40" s="594"/>
      <c r="U40" s="595"/>
      <c r="V40" s="596"/>
      <c r="W40" s="597"/>
      <c r="X40" s="597"/>
      <c r="Y40" s="597"/>
      <c r="Z40" s="597"/>
      <c r="AA40" s="597"/>
      <c r="AB40" s="598"/>
      <c r="AC40" s="593"/>
      <c r="AD40" s="642"/>
      <c r="AE40" s="596"/>
      <c r="AF40" s="628"/>
      <c r="AG40" s="629"/>
    </row>
    <row r="41" spans="1:33" ht="18" customHeight="1">
      <c r="A41" s="43"/>
      <c r="B41" s="587"/>
      <c r="C41" s="588"/>
      <c r="D41" s="588"/>
      <c r="E41" s="588"/>
      <c r="F41" s="588"/>
      <c r="G41" s="588"/>
      <c r="H41" s="589"/>
      <c r="I41" s="590"/>
      <c r="J41" s="591"/>
      <c r="K41" s="591"/>
      <c r="L41" s="591"/>
      <c r="M41" s="591"/>
      <c r="N41" s="591"/>
      <c r="O41" s="591"/>
      <c r="P41" s="591"/>
      <c r="Q41" s="591"/>
      <c r="R41" s="592"/>
      <c r="S41" s="593"/>
      <c r="T41" s="594"/>
      <c r="U41" s="595"/>
      <c r="V41" s="596"/>
      <c r="W41" s="597"/>
      <c r="X41" s="597"/>
      <c r="Y41" s="597"/>
      <c r="Z41" s="597"/>
      <c r="AA41" s="597"/>
      <c r="AB41" s="598"/>
      <c r="AC41" s="593"/>
      <c r="AD41" s="642"/>
      <c r="AE41" s="596"/>
      <c r="AF41" s="628"/>
      <c r="AG41" s="629"/>
    </row>
    <row r="42" spans="1:33" ht="18" customHeight="1">
      <c r="A42" s="43"/>
      <c r="B42" s="587"/>
      <c r="C42" s="588"/>
      <c r="D42" s="588"/>
      <c r="E42" s="588"/>
      <c r="F42" s="588"/>
      <c r="G42" s="588"/>
      <c r="H42" s="589"/>
      <c r="I42" s="590"/>
      <c r="J42" s="591"/>
      <c r="K42" s="591"/>
      <c r="L42" s="591"/>
      <c r="M42" s="591"/>
      <c r="N42" s="591"/>
      <c r="O42" s="591"/>
      <c r="P42" s="591"/>
      <c r="Q42" s="591"/>
      <c r="R42" s="592"/>
      <c r="S42" s="593"/>
      <c r="T42" s="594"/>
      <c r="U42" s="595"/>
      <c r="V42" s="596"/>
      <c r="W42" s="597"/>
      <c r="X42" s="597"/>
      <c r="Y42" s="597"/>
      <c r="Z42" s="597"/>
      <c r="AA42" s="597"/>
      <c r="AB42" s="598"/>
      <c r="AC42" s="593"/>
      <c r="AD42" s="642"/>
      <c r="AE42" s="596"/>
      <c r="AF42" s="628"/>
      <c r="AG42" s="629"/>
    </row>
    <row r="43" spans="1:33" ht="18" customHeight="1">
      <c r="A43" s="43"/>
      <c r="B43" s="587"/>
      <c r="C43" s="588"/>
      <c r="D43" s="588"/>
      <c r="E43" s="588"/>
      <c r="F43" s="588"/>
      <c r="G43" s="588"/>
      <c r="H43" s="589"/>
      <c r="I43" s="590"/>
      <c r="J43" s="591"/>
      <c r="K43" s="591"/>
      <c r="L43" s="591"/>
      <c r="M43" s="591"/>
      <c r="N43" s="591"/>
      <c r="O43" s="591"/>
      <c r="P43" s="591"/>
      <c r="Q43" s="591"/>
      <c r="R43" s="592"/>
      <c r="S43" s="593"/>
      <c r="T43" s="594"/>
      <c r="U43" s="595"/>
      <c r="V43" s="596"/>
      <c r="W43" s="597"/>
      <c r="X43" s="597"/>
      <c r="Y43" s="597"/>
      <c r="Z43" s="597"/>
      <c r="AA43" s="597"/>
      <c r="AB43" s="598"/>
      <c r="AC43" s="593"/>
      <c r="AD43" s="642"/>
      <c r="AE43" s="596"/>
      <c r="AF43" s="628"/>
      <c r="AG43" s="629"/>
    </row>
    <row r="44" spans="1:33" ht="18" customHeight="1">
      <c r="A44" s="43"/>
      <c r="B44" s="587"/>
      <c r="C44" s="588"/>
      <c r="D44" s="588"/>
      <c r="E44" s="588"/>
      <c r="F44" s="588"/>
      <c r="G44" s="588"/>
      <c r="H44" s="589"/>
      <c r="I44" s="590"/>
      <c r="J44" s="591"/>
      <c r="K44" s="591"/>
      <c r="L44" s="591"/>
      <c r="M44" s="591"/>
      <c r="N44" s="591"/>
      <c r="O44" s="591"/>
      <c r="P44" s="591"/>
      <c r="Q44" s="591"/>
      <c r="R44" s="592"/>
      <c r="S44" s="593"/>
      <c r="T44" s="594"/>
      <c r="U44" s="595"/>
      <c r="V44" s="596"/>
      <c r="W44" s="597"/>
      <c r="X44" s="597"/>
      <c r="Y44" s="597"/>
      <c r="Z44" s="597"/>
      <c r="AA44" s="597"/>
      <c r="AB44" s="598"/>
      <c r="AC44" s="593"/>
      <c r="AD44" s="642"/>
      <c r="AE44" s="596"/>
      <c r="AF44" s="628"/>
      <c r="AG44" s="629"/>
    </row>
    <row r="45" spans="1:33" ht="18" customHeight="1">
      <c r="A45" s="43"/>
      <c r="B45" s="587"/>
      <c r="C45" s="588"/>
      <c r="D45" s="588"/>
      <c r="E45" s="588"/>
      <c r="F45" s="588"/>
      <c r="G45" s="588"/>
      <c r="H45" s="589"/>
      <c r="I45" s="590"/>
      <c r="J45" s="591"/>
      <c r="K45" s="591"/>
      <c r="L45" s="591"/>
      <c r="M45" s="591"/>
      <c r="N45" s="591"/>
      <c r="O45" s="591"/>
      <c r="P45" s="591"/>
      <c r="Q45" s="591"/>
      <c r="R45" s="592"/>
      <c r="S45" s="593"/>
      <c r="T45" s="594"/>
      <c r="U45" s="595"/>
      <c r="V45" s="596"/>
      <c r="W45" s="597"/>
      <c r="X45" s="597"/>
      <c r="Y45" s="597"/>
      <c r="Z45" s="597"/>
      <c r="AA45" s="597"/>
      <c r="AB45" s="598"/>
      <c r="AC45" s="593"/>
      <c r="AD45" s="642"/>
      <c r="AE45" s="596"/>
      <c r="AF45" s="628"/>
      <c r="AG45" s="629"/>
    </row>
    <row r="46" spans="1:33" ht="18" customHeight="1">
      <c r="A46" s="43"/>
      <c r="B46" s="587"/>
      <c r="C46" s="588"/>
      <c r="D46" s="588"/>
      <c r="E46" s="588"/>
      <c r="F46" s="588"/>
      <c r="G46" s="588"/>
      <c r="H46" s="589"/>
      <c r="I46" s="590"/>
      <c r="J46" s="591"/>
      <c r="K46" s="591"/>
      <c r="L46" s="591"/>
      <c r="M46" s="591"/>
      <c r="N46" s="591"/>
      <c r="O46" s="591"/>
      <c r="P46" s="591"/>
      <c r="Q46" s="591"/>
      <c r="R46" s="592"/>
      <c r="S46" s="593"/>
      <c r="T46" s="594"/>
      <c r="U46" s="595"/>
      <c r="V46" s="596"/>
      <c r="W46" s="597"/>
      <c r="X46" s="597"/>
      <c r="Y46" s="597"/>
      <c r="Z46" s="597"/>
      <c r="AA46" s="597"/>
      <c r="AB46" s="598"/>
      <c r="AC46" s="593"/>
      <c r="AD46" s="642"/>
      <c r="AE46" s="596"/>
      <c r="AF46" s="628"/>
      <c r="AG46" s="629"/>
    </row>
    <row r="47" spans="1:33" ht="18" customHeight="1">
      <c r="A47" s="43"/>
      <c r="B47" s="587"/>
      <c r="C47" s="588"/>
      <c r="D47" s="588"/>
      <c r="E47" s="588"/>
      <c r="F47" s="588"/>
      <c r="G47" s="588"/>
      <c r="H47" s="589"/>
      <c r="I47" s="590"/>
      <c r="J47" s="591"/>
      <c r="K47" s="591"/>
      <c r="L47" s="591"/>
      <c r="M47" s="591"/>
      <c r="N47" s="591"/>
      <c r="O47" s="591"/>
      <c r="P47" s="591"/>
      <c r="Q47" s="591"/>
      <c r="R47" s="592"/>
      <c r="S47" s="593"/>
      <c r="T47" s="594"/>
      <c r="U47" s="595"/>
      <c r="V47" s="596"/>
      <c r="W47" s="597"/>
      <c r="X47" s="597"/>
      <c r="Y47" s="597"/>
      <c r="Z47" s="597"/>
      <c r="AA47" s="597"/>
      <c r="AB47" s="598"/>
      <c r="AC47" s="593"/>
      <c r="AD47" s="642"/>
      <c r="AE47" s="596"/>
      <c r="AF47" s="628"/>
      <c r="AG47" s="629"/>
    </row>
    <row r="48" spans="1:33" ht="18" customHeight="1">
      <c r="A48" s="43"/>
      <c r="B48" s="587"/>
      <c r="C48" s="588"/>
      <c r="D48" s="588"/>
      <c r="E48" s="588"/>
      <c r="F48" s="588"/>
      <c r="G48" s="588"/>
      <c r="H48" s="589"/>
      <c r="I48" s="590"/>
      <c r="J48" s="591"/>
      <c r="K48" s="591"/>
      <c r="L48" s="591"/>
      <c r="M48" s="591"/>
      <c r="N48" s="591"/>
      <c r="O48" s="591"/>
      <c r="P48" s="591"/>
      <c r="Q48" s="591"/>
      <c r="R48" s="592"/>
      <c r="S48" s="593"/>
      <c r="T48" s="594"/>
      <c r="U48" s="595"/>
      <c r="V48" s="596"/>
      <c r="W48" s="597"/>
      <c r="X48" s="597"/>
      <c r="Y48" s="597"/>
      <c r="Z48" s="597"/>
      <c r="AA48" s="597"/>
      <c r="AB48" s="598"/>
      <c r="AC48" s="593"/>
      <c r="AD48" s="642"/>
      <c r="AE48" s="596"/>
      <c r="AF48" s="628"/>
      <c r="AG48" s="629"/>
    </row>
    <row r="49" spans="1:33" ht="18" customHeight="1">
      <c r="A49" s="43"/>
      <c r="B49" s="587"/>
      <c r="C49" s="588"/>
      <c r="D49" s="588"/>
      <c r="E49" s="588"/>
      <c r="F49" s="588"/>
      <c r="G49" s="588"/>
      <c r="H49" s="589"/>
      <c r="I49" s="590"/>
      <c r="J49" s="591"/>
      <c r="K49" s="591"/>
      <c r="L49" s="591"/>
      <c r="M49" s="591"/>
      <c r="N49" s="591"/>
      <c r="O49" s="591"/>
      <c r="P49" s="591"/>
      <c r="Q49" s="591"/>
      <c r="R49" s="592"/>
      <c r="S49" s="593"/>
      <c r="T49" s="594"/>
      <c r="U49" s="595"/>
      <c r="V49" s="596"/>
      <c r="W49" s="597"/>
      <c r="X49" s="597"/>
      <c r="Y49" s="597"/>
      <c r="Z49" s="597"/>
      <c r="AA49" s="597"/>
      <c r="AB49" s="598"/>
      <c r="AC49" s="593"/>
      <c r="AD49" s="642"/>
      <c r="AE49" s="596"/>
      <c r="AF49" s="628"/>
      <c r="AG49" s="629"/>
    </row>
    <row r="50" spans="1:33" ht="18" customHeight="1">
      <c r="A50" s="43"/>
      <c r="B50" s="587"/>
      <c r="C50" s="588"/>
      <c r="D50" s="588"/>
      <c r="E50" s="588"/>
      <c r="F50" s="588"/>
      <c r="G50" s="588"/>
      <c r="H50" s="589"/>
      <c r="I50" s="590"/>
      <c r="J50" s="591"/>
      <c r="K50" s="591"/>
      <c r="L50" s="591"/>
      <c r="M50" s="591"/>
      <c r="N50" s="591"/>
      <c r="O50" s="591"/>
      <c r="P50" s="591"/>
      <c r="Q50" s="591"/>
      <c r="R50" s="592"/>
      <c r="S50" s="593"/>
      <c r="T50" s="594"/>
      <c r="U50" s="595"/>
      <c r="V50" s="596"/>
      <c r="W50" s="597"/>
      <c r="X50" s="597"/>
      <c r="Y50" s="597"/>
      <c r="Z50" s="597"/>
      <c r="AA50" s="597"/>
      <c r="AB50" s="598"/>
      <c r="AC50" s="593"/>
      <c r="AD50" s="642"/>
      <c r="AE50" s="596"/>
      <c r="AF50" s="628"/>
      <c r="AG50" s="629"/>
    </row>
    <row r="51" spans="1:33" ht="18" customHeight="1">
      <c r="A51" s="43"/>
      <c r="B51" s="587"/>
      <c r="C51" s="588"/>
      <c r="D51" s="588"/>
      <c r="E51" s="588"/>
      <c r="F51" s="588"/>
      <c r="G51" s="588"/>
      <c r="H51" s="589"/>
      <c r="I51" s="590"/>
      <c r="J51" s="591"/>
      <c r="K51" s="591"/>
      <c r="L51" s="591"/>
      <c r="M51" s="591"/>
      <c r="N51" s="591"/>
      <c r="O51" s="591"/>
      <c r="P51" s="591"/>
      <c r="Q51" s="591"/>
      <c r="R51" s="592"/>
      <c r="S51" s="593"/>
      <c r="T51" s="594"/>
      <c r="U51" s="595"/>
      <c r="V51" s="596"/>
      <c r="W51" s="597"/>
      <c r="X51" s="597"/>
      <c r="Y51" s="597"/>
      <c r="Z51" s="597"/>
      <c r="AA51" s="597"/>
      <c r="AB51" s="598"/>
      <c r="AC51" s="593"/>
      <c r="AD51" s="642"/>
      <c r="AE51" s="596"/>
      <c r="AF51" s="628"/>
      <c r="AG51" s="629"/>
    </row>
    <row r="52" spans="1:33" ht="18" customHeight="1">
      <c r="A52" s="43"/>
      <c r="B52" s="587"/>
      <c r="C52" s="588"/>
      <c r="D52" s="588"/>
      <c r="E52" s="588"/>
      <c r="F52" s="588"/>
      <c r="G52" s="588"/>
      <c r="H52" s="589"/>
      <c r="I52" s="590"/>
      <c r="J52" s="591"/>
      <c r="K52" s="591"/>
      <c r="L52" s="591"/>
      <c r="M52" s="591"/>
      <c r="N52" s="591"/>
      <c r="O52" s="591"/>
      <c r="P52" s="591"/>
      <c r="Q52" s="591"/>
      <c r="R52" s="592"/>
      <c r="S52" s="593"/>
      <c r="T52" s="594"/>
      <c r="U52" s="595"/>
      <c r="V52" s="596"/>
      <c r="W52" s="597"/>
      <c r="X52" s="597"/>
      <c r="Y52" s="597"/>
      <c r="Z52" s="597"/>
      <c r="AA52" s="597"/>
      <c r="AB52" s="598"/>
      <c r="AC52" s="593"/>
      <c r="AD52" s="642"/>
      <c r="AE52" s="596"/>
      <c r="AF52" s="628"/>
      <c r="AG52" s="629"/>
    </row>
    <row r="53" spans="1:33" ht="18" customHeight="1">
      <c r="A53" s="43"/>
      <c r="B53" s="587"/>
      <c r="C53" s="588"/>
      <c r="D53" s="588"/>
      <c r="E53" s="588"/>
      <c r="F53" s="588"/>
      <c r="G53" s="588"/>
      <c r="H53" s="589"/>
      <c r="I53" s="590"/>
      <c r="J53" s="591"/>
      <c r="K53" s="591"/>
      <c r="L53" s="591"/>
      <c r="M53" s="591"/>
      <c r="N53" s="591"/>
      <c r="O53" s="591"/>
      <c r="P53" s="591"/>
      <c r="Q53" s="591"/>
      <c r="R53" s="592"/>
      <c r="S53" s="593"/>
      <c r="T53" s="594"/>
      <c r="U53" s="595"/>
      <c r="V53" s="596"/>
      <c r="W53" s="597"/>
      <c r="X53" s="597"/>
      <c r="Y53" s="597"/>
      <c r="Z53" s="597"/>
      <c r="AA53" s="597"/>
      <c r="AB53" s="598"/>
      <c r="AC53" s="593"/>
      <c r="AD53" s="642"/>
      <c r="AE53" s="596"/>
      <c r="AF53" s="628"/>
      <c r="AG53" s="629"/>
    </row>
    <row r="54" spans="1:33" ht="18" customHeight="1">
      <c r="A54" s="43"/>
      <c r="B54" s="587"/>
      <c r="C54" s="588"/>
      <c r="D54" s="588"/>
      <c r="E54" s="588"/>
      <c r="F54" s="588"/>
      <c r="G54" s="588"/>
      <c r="H54" s="589"/>
      <c r="I54" s="639"/>
      <c r="J54" s="638"/>
      <c r="K54" s="637"/>
      <c r="L54" s="638"/>
      <c r="M54" s="637"/>
      <c r="N54" s="638"/>
      <c r="O54" s="637"/>
      <c r="P54" s="638"/>
      <c r="Q54" s="637"/>
      <c r="R54" s="629"/>
      <c r="S54" s="639"/>
      <c r="T54" s="638"/>
      <c r="U54" s="637"/>
      <c r="V54" s="629"/>
      <c r="W54" s="667"/>
      <c r="X54" s="668"/>
      <c r="Y54" s="668"/>
      <c r="Z54" s="668"/>
      <c r="AA54" s="668"/>
      <c r="AB54" s="669"/>
      <c r="AC54" s="639"/>
      <c r="AD54" s="628"/>
      <c r="AE54" s="629"/>
      <c r="AF54" s="639"/>
      <c r="AG54" s="629"/>
    </row>
    <row r="55" spans="1:33" ht="18" customHeight="1">
      <c r="A55" s="43"/>
      <c r="B55" s="587"/>
      <c r="C55" s="588"/>
      <c r="D55" s="588"/>
      <c r="E55" s="588"/>
      <c r="F55" s="588"/>
      <c r="G55" s="588"/>
      <c r="H55" s="589"/>
      <c r="I55" s="590"/>
      <c r="J55" s="591"/>
      <c r="K55" s="591"/>
      <c r="L55" s="591"/>
      <c r="M55" s="591"/>
      <c r="N55" s="591"/>
      <c r="O55" s="591"/>
      <c r="P55" s="591"/>
      <c r="Q55" s="591"/>
      <c r="R55" s="592"/>
      <c r="S55" s="593"/>
      <c r="T55" s="594"/>
      <c r="U55" s="595"/>
      <c r="V55" s="596"/>
      <c r="W55" s="597"/>
      <c r="X55" s="597"/>
      <c r="Y55" s="597"/>
      <c r="Z55" s="597"/>
      <c r="AA55" s="597"/>
      <c r="AB55" s="598"/>
      <c r="AC55" s="593"/>
      <c r="AD55" s="642"/>
      <c r="AE55" s="596"/>
      <c r="AF55" s="628"/>
      <c r="AG55" s="629"/>
    </row>
    <row r="56" spans="1:33" ht="18" customHeight="1">
      <c r="A56" s="43"/>
      <c r="B56" s="587"/>
      <c r="C56" s="588"/>
      <c r="D56" s="588"/>
      <c r="E56" s="588"/>
      <c r="F56" s="588"/>
      <c r="G56" s="588"/>
      <c r="H56" s="589"/>
      <c r="I56" s="590"/>
      <c r="J56" s="591"/>
      <c r="K56" s="591"/>
      <c r="L56" s="591"/>
      <c r="M56" s="591"/>
      <c r="N56" s="591"/>
      <c r="O56" s="591"/>
      <c r="P56" s="591"/>
      <c r="Q56" s="591"/>
      <c r="R56" s="592"/>
      <c r="S56" s="593"/>
      <c r="T56" s="594"/>
      <c r="U56" s="595"/>
      <c r="V56" s="596"/>
      <c r="W56" s="597"/>
      <c r="X56" s="597"/>
      <c r="Y56" s="597"/>
      <c r="Z56" s="597"/>
      <c r="AA56" s="597"/>
      <c r="AB56" s="598"/>
      <c r="AC56" s="593"/>
      <c r="AD56" s="642"/>
      <c r="AE56" s="596"/>
      <c r="AF56" s="628"/>
      <c r="AG56" s="629"/>
    </row>
    <row r="57" spans="1:33" ht="18" customHeight="1" thickBot="1">
      <c r="A57" s="44"/>
      <c r="B57" s="674"/>
      <c r="C57" s="675"/>
      <c r="D57" s="675"/>
      <c r="E57" s="675"/>
      <c r="F57" s="675"/>
      <c r="G57" s="675"/>
      <c r="H57" s="676"/>
      <c r="I57" s="663"/>
      <c r="J57" s="601"/>
      <c r="K57" s="601"/>
      <c r="L57" s="601"/>
      <c r="M57" s="601"/>
      <c r="N57" s="601"/>
      <c r="O57" s="601"/>
      <c r="P57" s="601"/>
      <c r="Q57" s="601"/>
      <c r="R57" s="602"/>
      <c r="S57" s="688"/>
      <c r="T57" s="689"/>
      <c r="U57" s="684"/>
      <c r="V57" s="641"/>
      <c r="W57" s="685"/>
      <c r="X57" s="686"/>
      <c r="Y57" s="686"/>
      <c r="Z57" s="686"/>
      <c r="AA57" s="686"/>
      <c r="AB57" s="687"/>
      <c r="AC57" s="644"/>
      <c r="AD57" s="640"/>
      <c r="AE57" s="641"/>
      <c r="AF57" s="640"/>
      <c r="AG57" s="641"/>
    </row>
    <row r="58" spans="1:33" ht="7.5" customHeight="1" thickBo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row>
    <row r="59" spans="1:33">
      <c r="A59" s="45"/>
      <c r="B59" s="45"/>
      <c r="C59" s="45"/>
      <c r="D59" s="45"/>
      <c r="E59" s="45"/>
      <c r="F59" s="45"/>
      <c r="G59" s="45"/>
      <c r="H59" s="45"/>
      <c r="I59" s="45"/>
      <c r="J59" s="45"/>
      <c r="K59" s="45"/>
      <c r="L59" s="45"/>
      <c r="M59" s="45"/>
      <c r="N59" s="679" t="str">
        <f>VLOOKUP("signature",Translations!$A:$T,MATCH(PSW!AO7,Translations!A1:P1,0),0)</f>
        <v>SIGNATURE</v>
      </c>
      <c r="O59" s="680"/>
      <c r="P59" s="680"/>
      <c r="Q59" s="680"/>
      <c r="R59" s="680"/>
      <c r="S59" s="680"/>
      <c r="T59" s="680"/>
      <c r="U59" s="680"/>
      <c r="V59" s="681"/>
      <c r="W59" s="694" t="str">
        <f>VLOOKUP("title1",Translations!$A:$T,MATCH(PSW!AO7,Translations!A1:P1,0),0)</f>
        <v>TITLE</v>
      </c>
      <c r="X59" s="680"/>
      <c r="Y59" s="680"/>
      <c r="Z59" s="680"/>
      <c r="AA59" s="680"/>
      <c r="AB59" s="680"/>
      <c r="AC59" s="680"/>
      <c r="AD59" s="681"/>
      <c r="AE59" s="694" t="str">
        <f>VLOOKUP("date1",Translations!$A:$T,MATCH(PSW!AO7,Translations!A1:P1,0),0)</f>
        <v>DATE</v>
      </c>
      <c r="AF59" s="680"/>
      <c r="AG59" s="704"/>
    </row>
    <row r="60" spans="1:33" ht="18.75" customHeight="1">
      <c r="A60" s="45"/>
      <c r="B60" s="45"/>
      <c r="C60" s="45"/>
      <c r="D60" s="45"/>
      <c r="E60" s="45"/>
      <c r="F60" s="45"/>
      <c r="G60" s="45"/>
      <c r="H60" s="45"/>
      <c r="I60" s="45"/>
      <c r="J60" s="45"/>
      <c r="K60" s="45"/>
      <c r="L60" s="45"/>
      <c r="M60" s="45"/>
      <c r="N60" s="611"/>
      <c r="O60" s="612"/>
      <c r="P60" s="612"/>
      <c r="Q60" s="612"/>
      <c r="R60" s="612"/>
      <c r="S60" s="612"/>
      <c r="T60" s="612"/>
      <c r="U60" s="612"/>
      <c r="V60" s="682"/>
      <c r="W60" s="695"/>
      <c r="X60" s="696"/>
      <c r="Y60" s="696"/>
      <c r="Z60" s="696"/>
      <c r="AA60" s="696"/>
      <c r="AB60" s="696"/>
      <c r="AC60" s="696"/>
      <c r="AD60" s="697"/>
      <c r="AE60" s="692"/>
      <c r="AF60" s="612"/>
      <c r="AG60" s="613"/>
    </row>
    <row r="61" spans="1:33" ht="24" customHeight="1" thickBot="1">
      <c r="A61" s="45"/>
      <c r="B61" s="45"/>
      <c r="C61" s="45"/>
      <c r="D61" s="45"/>
      <c r="E61" s="45"/>
      <c r="F61" s="45"/>
      <c r="G61" s="45"/>
      <c r="H61" s="45"/>
      <c r="I61" s="45"/>
      <c r="J61" s="45"/>
      <c r="K61" s="45"/>
      <c r="L61" s="45"/>
      <c r="M61" s="45"/>
      <c r="N61" s="614"/>
      <c r="O61" s="615"/>
      <c r="P61" s="615"/>
      <c r="Q61" s="615"/>
      <c r="R61" s="615"/>
      <c r="S61" s="615"/>
      <c r="T61" s="615"/>
      <c r="U61" s="615"/>
      <c r="V61" s="683"/>
      <c r="W61" s="698"/>
      <c r="X61" s="699"/>
      <c r="Y61" s="699"/>
      <c r="Z61" s="699"/>
      <c r="AA61" s="699"/>
      <c r="AB61" s="699"/>
      <c r="AC61" s="699"/>
      <c r="AD61" s="700"/>
      <c r="AE61" s="693"/>
      <c r="AF61" s="615"/>
      <c r="AG61" s="616"/>
    </row>
  </sheetData>
  <sheetProtection algorithmName="SHA-512" hashValue="g14mTKsFCQtS4T+Hm+moO02/fJfjaDgh350704wdilx95Z2afxYLD7EXYg5cw65qpb5s9SgJ3XkJ9Yllc8AKOg==" saltValue="ccrvNogqXMRzki4S7qVOdA==" spinCount="100000" sheet="1" objects="1" scenarios="1" formatCells="0" formatColumns="0" formatRows="0" insertColumns="0" insertRows="0" deleteColumns="0" deleteRows="0" selectLockedCells="1"/>
  <mergeCells count="542">
    <mergeCell ref="P1:AF3"/>
    <mergeCell ref="AE60:AG61"/>
    <mergeCell ref="W59:AD59"/>
    <mergeCell ref="W60:AD61"/>
    <mergeCell ref="S54:T54"/>
    <mergeCell ref="S55:T55"/>
    <mergeCell ref="S56:T56"/>
    <mergeCell ref="S9:AG9"/>
    <mergeCell ref="S8:AG8"/>
    <mergeCell ref="AE59:AG59"/>
    <mergeCell ref="S51:T51"/>
    <mergeCell ref="S52:T52"/>
    <mergeCell ref="S53:T53"/>
    <mergeCell ref="S43:T43"/>
    <mergeCell ref="S44:T44"/>
    <mergeCell ref="S45:T45"/>
    <mergeCell ref="S46:T46"/>
    <mergeCell ref="S47:T47"/>
    <mergeCell ref="S48:T48"/>
    <mergeCell ref="S49:T49"/>
    <mergeCell ref="S50:T50"/>
    <mergeCell ref="S27:T27"/>
    <mergeCell ref="S28:T28"/>
    <mergeCell ref="S29:T29"/>
    <mergeCell ref="S30:T30"/>
    <mergeCell ref="S31:T31"/>
    <mergeCell ref="S32:T32"/>
    <mergeCell ref="S33:T33"/>
    <mergeCell ref="S34:T34"/>
    <mergeCell ref="S35:T35"/>
    <mergeCell ref="S18:T18"/>
    <mergeCell ref="S19:T19"/>
    <mergeCell ref="S20:T20"/>
    <mergeCell ref="S21:T21"/>
    <mergeCell ref="S22:T22"/>
    <mergeCell ref="S23:T23"/>
    <mergeCell ref="S24:T24"/>
    <mergeCell ref="S25:T25"/>
    <mergeCell ref="S26:T26"/>
    <mergeCell ref="N59:V59"/>
    <mergeCell ref="N60:V61"/>
    <mergeCell ref="U56:V56"/>
    <mergeCell ref="U57:V57"/>
    <mergeCell ref="W57:AB57"/>
    <mergeCell ref="U53:V53"/>
    <mergeCell ref="U54:V54"/>
    <mergeCell ref="U55:V55"/>
    <mergeCell ref="S57:T57"/>
    <mergeCell ref="W54:AB54"/>
    <mergeCell ref="W55:AB55"/>
    <mergeCell ref="W56:AB56"/>
    <mergeCell ref="M54:N54"/>
    <mergeCell ref="Q54:R54"/>
    <mergeCell ref="U12:V12"/>
    <mergeCell ref="U13:V13"/>
    <mergeCell ref="U14:V14"/>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I57:J57"/>
    <mergeCell ref="K57:L57"/>
    <mergeCell ref="M57:N57"/>
    <mergeCell ref="O57:P57"/>
    <mergeCell ref="Q57:R57"/>
    <mergeCell ref="M43:N43"/>
    <mergeCell ref="Q43:R43"/>
    <mergeCell ref="I44:J44"/>
    <mergeCell ref="K44:L44"/>
    <mergeCell ref="M44:N44"/>
    <mergeCell ref="O44:P44"/>
    <mergeCell ref="Q44:R44"/>
    <mergeCell ref="I45:J45"/>
    <mergeCell ref="K45:L45"/>
    <mergeCell ref="M45:N45"/>
    <mergeCell ref="Q45:R45"/>
    <mergeCell ref="K50:L50"/>
    <mergeCell ref="M50:N50"/>
    <mergeCell ref="Q50:R50"/>
    <mergeCell ref="Q48:R48"/>
    <mergeCell ref="I46:J46"/>
    <mergeCell ref="K46:L46"/>
    <mergeCell ref="M46:N46"/>
    <mergeCell ref="Q46:R46"/>
    <mergeCell ref="Q41:R41"/>
    <mergeCell ref="I42:J42"/>
    <mergeCell ref="K42:L42"/>
    <mergeCell ref="M42:N42"/>
    <mergeCell ref="O42:P42"/>
    <mergeCell ref="Q42:R42"/>
    <mergeCell ref="U32:V32"/>
    <mergeCell ref="U33:V33"/>
    <mergeCell ref="U34:V34"/>
    <mergeCell ref="U35:V35"/>
    <mergeCell ref="U36:V36"/>
    <mergeCell ref="M40:N40"/>
    <mergeCell ref="O40:P40"/>
    <mergeCell ref="Q40:R40"/>
    <mergeCell ref="S36:T36"/>
    <mergeCell ref="S37:T37"/>
    <mergeCell ref="S38:T38"/>
    <mergeCell ref="S39:T39"/>
    <mergeCell ref="S40:T40"/>
    <mergeCell ref="S41:T41"/>
    <mergeCell ref="S42:T42"/>
    <mergeCell ref="Q34:R34"/>
    <mergeCell ref="I35:J35"/>
    <mergeCell ref="K35:L35"/>
    <mergeCell ref="Q35:R35"/>
    <mergeCell ref="I36:J36"/>
    <mergeCell ref="K36:L36"/>
    <mergeCell ref="M36:N36"/>
    <mergeCell ref="O36:P36"/>
    <mergeCell ref="Q36:R36"/>
    <mergeCell ref="Q31:R31"/>
    <mergeCell ref="I32:J32"/>
    <mergeCell ref="K32:L32"/>
    <mergeCell ref="M32:N32"/>
    <mergeCell ref="O32:P32"/>
    <mergeCell ref="Q32:R32"/>
    <mergeCell ref="I33:J33"/>
    <mergeCell ref="K33:L33"/>
    <mergeCell ref="M33:N33"/>
    <mergeCell ref="Q33:R33"/>
    <mergeCell ref="O31:P31"/>
    <mergeCell ref="I31:J31"/>
    <mergeCell ref="K31:L31"/>
    <mergeCell ref="M31:N31"/>
    <mergeCell ref="O33:P33"/>
    <mergeCell ref="Q28:R28"/>
    <mergeCell ref="I29:J29"/>
    <mergeCell ref="K29:L29"/>
    <mergeCell ref="M29:N29"/>
    <mergeCell ref="Q29:R29"/>
    <mergeCell ref="I30:J30"/>
    <mergeCell ref="K30:L30"/>
    <mergeCell ref="M30:N30"/>
    <mergeCell ref="O30:P30"/>
    <mergeCell ref="Q30:R30"/>
    <mergeCell ref="I28:J28"/>
    <mergeCell ref="K28:L28"/>
    <mergeCell ref="Q25:R25"/>
    <mergeCell ref="I26:J26"/>
    <mergeCell ref="K26:L26"/>
    <mergeCell ref="M26:N26"/>
    <mergeCell ref="O26:P26"/>
    <mergeCell ref="Q26:R26"/>
    <mergeCell ref="I27:J27"/>
    <mergeCell ref="K27:L27"/>
    <mergeCell ref="M27:N27"/>
    <mergeCell ref="Q27:R27"/>
    <mergeCell ref="O27:P27"/>
    <mergeCell ref="O25:P25"/>
    <mergeCell ref="O22:P22"/>
    <mergeCell ref="Q22:R22"/>
    <mergeCell ref="I23:J23"/>
    <mergeCell ref="K23:L23"/>
    <mergeCell ref="M23:N23"/>
    <mergeCell ref="Q23:R23"/>
    <mergeCell ref="I24:J24"/>
    <mergeCell ref="K24:L24"/>
    <mergeCell ref="M24:N24"/>
    <mergeCell ref="O24:P24"/>
    <mergeCell ref="Q24:R24"/>
    <mergeCell ref="O23:P23"/>
    <mergeCell ref="I22:J22"/>
    <mergeCell ref="K22:L22"/>
    <mergeCell ref="M22:N22"/>
    <mergeCell ref="B50:H50"/>
    <mergeCell ref="B51:H51"/>
    <mergeCell ref="B52:H52"/>
    <mergeCell ref="B54:H54"/>
    <mergeCell ref="B55:H55"/>
    <mergeCell ref="B56:H56"/>
    <mergeCell ref="B57:H57"/>
    <mergeCell ref="B21:H21"/>
    <mergeCell ref="B22:H22"/>
    <mergeCell ref="B23:H23"/>
    <mergeCell ref="B45:H45"/>
    <mergeCell ref="B46:H46"/>
    <mergeCell ref="B47:H47"/>
    <mergeCell ref="B48:H48"/>
    <mergeCell ref="B49:H49"/>
    <mergeCell ref="B41:H41"/>
    <mergeCell ref="B42:H42"/>
    <mergeCell ref="B31:H31"/>
    <mergeCell ref="B32:H32"/>
    <mergeCell ref="B29:H29"/>
    <mergeCell ref="B30:H30"/>
    <mergeCell ref="B27:H27"/>
    <mergeCell ref="B28:H28"/>
    <mergeCell ref="B33:H33"/>
    <mergeCell ref="S12:T12"/>
    <mergeCell ref="I12:J12"/>
    <mergeCell ref="K12:L12"/>
    <mergeCell ref="M12:N12"/>
    <mergeCell ref="Q12:R12"/>
    <mergeCell ref="Q13:R13"/>
    <mergeCell ref="O14:P14"/>
    <mergeCell ref="Q14:R14"/>
    <mergeCell ref="Q17:R17"/>
    <mergeCell ref="I13:J13"/>
    <mergeCell ref="K13:L13"/>
    <mergeCell ref="M13:N13"/>
    <mergeCell ref="I14:J14"/>
    <mergeCell ref="K14:L14"/>
    <mergeCell ref="M14:N14"/>
    <mergeCell ref="I17:J17"/>
    <mergeCell ref="K17:L17"/>
    <mergeCell ref="M17:N17"/>
    <mergeCell ref="S13:T13"/>
    <mergeCell ref="S14:T14"/>
    <mergeCell ref="S17:T17"/>
    <mergeCell ref="W37:AB37"/>
    <mergeCell ref="W20:AB20"/>
    <mergeCell ref="W21:AB21"/>
    <mergeCell ref="W22:AB22"/>
    <mergeCell ref="W23:AB23"/>
    <mergeCell ref="W24:AB24"/>
    <mergeCell ref="W25:AB25"/>
    <mergeCell ref="W26:AB26"/>
    <mergeCell ref="W27:AB27"/>
    <mergeCell ref="W28:AB28"/>
    <mergeCell ref="W29:AB29"/>
    <mergeCell ref="AC57:AE57"/>
    <mergeCell ref="B10:H11"/>
    <mergeCell ref="W10:AB11"/>
    <mergeCell ref="S10:V10"/>
    <mergeCell ref="S11:T11"/>
    <mergeCell ref="U11:V11"/>
    <mergeCell ref="I10:R10"/>
    <mergeCell ref="I11:J11"/>
    <mergeCell ref="K11:L11"/>
    <mergeCell ref="M11:N11"/>
    <mergeCell ref="W12:AB12"/>
    <mergeCell ref="W13:AB13"/>
    <mergeCell ref="W14:AB14"/>
    <mergeCell ref="W17:AB17"/>
    <mergeCell ref="W18:AB18"/>
    <mergeCell ref="W19:AB19"/>
    <mergeCell ref="AC47:AE47"/>
    <mergeCell ref="W30:AB30"/>
    <mergeCell ref="W31:AB31"/>
    <mergeCell ref="W32:AB32"/>
    <mergeCell ref="W33:AB33"/>
    <mergeCell ref="W34:AB34"/>
    <mergeCell ref="W35:AB35"/>
    <mergeCell ref="W36:AB36"/>
    <mergeCell ref="AC36:AE36"/>
    <mergeCell ref="AC37:AE37"/>
    <mergeCell ref="AC38:AE38"/>
    <mergeCell ref="AC48:AE48"/>
    <mergeCell ref="AC49:AE49"/>
    <mergeCell ref="AC50:AE50"/>
    <mergeCell ref="AC51:AE51"/>
    <mergeCell ref="AC52:AE52"/>
    <mergeCell ref="AC39:AE39"/>
    <mergeCell ref="AC40:AE40"/>
    <mergeCell ref="AC41:AE41"/>
    <mergeCell ref="AC42:AE42"/>
    <mergeCell ref="AC43:AE43"/>
    <mergeCell ref="AC44:AE44"/>
    <mergeCell ref="AC45:AE45"/>
    <mergeCell ref="AC46:AE46"/>
    <mergeCell ref="AC12:AE12"/>
    <mergeCell ref="AC13:AE13"/>
    <mergeCell ref="AC14:AE14"/>
    <mergeCell ref="AC17:AE17"/>
    <mergeCell ref="AC18:AE18"/>
    <mergeCell ref="AC19:AE19"/>
    <mergeCell ref="AC20:AE20"/>
    <mergeCell ref="AC21:AE21"/>
    <mergeCell ref="AC22:AE22"/>
    <mergeCell ref="AC16:AE16"/>
    <mergeCell ref="AC15:AE15"/>
    <mergeCell ref="AC23:AE23"/>
    <mergeCell ref="AC24:AE24"/>
    <mergeCell ref="AC25:AE25"/>
    <mergeCell ref="AC26:AE26"/>
    <mergeCell ref="AC27:AE27"/>
    <mergeCell ref="AC28:AE28"/>
    <mergeCell ref="AC29:AE29"/>
    <mergeCell ref="W47:AB47"/>
    <mergeCell ref="W48:AB48"/>
    <mergeCell ref="W45:AB45"/>
    <mergeCell ref="W46:AB46"/>
    <mergeCell ref="W38:AB38"/>
    <mergeCell ref="W39:AB39"/>
    <mergeCell ref="W40:AB40"/>
    <mergeCell ref="W41:AB41"/>
    <mergeCell ref="W42:AB42"/>
    <mergeCell ref="W43:AB43"/>
    <mergeCell ref="W44:AB44"/>
    <mergeCell ref="AC30:AE30"/>
    <mergeCell ref="AC31:AE31"/>
    <mergeCell ref="AC32:AE32"/>
    <mergeCell ref="AC33:AE33"/>
    <mergeCell ref="AC34:AE34"/>
    <mergeCell ref="AC35:AE35"/>
    <mergeCell ref="W49:AB49"/>
    <mergeCell ref="W50:AB50"/>
    <mergeCell ref="W51:AB51"/>
    <mergeCell ref="W52:AB52"/>
    <mergeCell ref="W53:AB53"/>
    <mergeCell ref="AC53:AE53"/>
    <mergeCell ref="AF54:AG54"/>
    <mergeCell ref="AF55:AG55"/>
    <mergeCell ref="AF56:AG56"/>
    <mergeCell ref="AC54:AE54"/>
    <mergeCell ref="AC55:AE55"/>
    <mergeCell ref="AC56:AE56"/>
    <mergeCell ref="AF34:AG34"/>
    <mergeCell ref="AF35:AG35"/>
    <mergeCell ref="AF36:AG36"/>
    <mergeCell ref="AF37:AG37"/>
    <mergeCell ref="AF38:AG38"/>
    <mergeCell ref="AF39:AG39"/>
    <mergeCell ref="AF40:AG40"/>
    <mergeCell ref="AF57:AG57"/>
    <mergeCell ref="AF49:AG49"/>
    <mergeCell ref="AF50:AG50"/>
    <mergeCell ref="AF51:AG51"/>
    <mergeCell ref="AF52:AG52"/>
    <mergeCell ref="AF53:AG53"/>
    <mergeCell ref="AF41:AG41"/>
    <mergeCell ref="AF42:AG42"/>
    <mergeCell ref="AF43:AG43"/>
    <mergeCell ref="AF44:AG44"/>
    <mergeCell ref="AF45:AG45"/>
    <mergeCell ref="AF46:AG46"/>
    <mergeCell ref="AF47:AG47"/>
    <mergeCell ref="AF48:AG48"/>
    <mergeCell ref="AF25:AG25"/>
    <mergeCell ref="AF26:AG26"/>
    <mergeCell ref="AF27:AG27"/>
    <mergeCell ref="AF28:AG28"/>
    <mergeCell ref="AF29:AG29"/>
    <mergeCell ref="AF30:AG30"/>
    <mergeCell ref="AF31:AG31"/>
    <mergeCell ref="AF32:AG32"/>
    <mergeCell ref="AF33:AG33"/>
    <mergeCell ref="AF14:AG14"/>
    <mergeCell ref="AF17:AG17"/>
    <mergeCell ref="AF18:AG18"/>
    <mergeCell ref="AF19:AG19"/>
    <mergeCell ref="AF20:AG20"/>
    <mergeCell ref="AF21:AG21"/>
    <mergeCell ref="AF22:AG22"/>
    <mergeCell ref="AF23:AG23"/>
    <mergeCell ref="AF24:AG24"/>
    <mergeCell ref="AF16:AG16"/>
    <mergeCell ref="AF15:AG15"/>
    <mergeCell ref="O39:P39"/>
    <mergeCell ref="B39:H39"/>
    <mergeCell ref="B40:H40"/>
    <mergeCell ref="I40:J40"/>
    <mergeCell ref="K40:L40"/>
    <mergeCell ref="O37:P37"/>
    <mergeCell ref="B37:H37"/>
    <mergeCell ref="B38:H38"/>
    <mergeCell ref="I37:J37"/>
    <mergeCell ref="K37:L37"/>
    <mergeCell ref="M37:N37"/>
    <mergeCell ref="I38:J38"/>
    <mergeCell ref="K38:L38"/>
    <mergeCell ref="M38:N38"/>
    <mergeCell ref="O38:P38"/>
    <mergeCell ref="I39:J39"/>
    <mergeCell ref="K39:L39"/>
    <mergeCell ref="M39:N39"/>
    <mergeCell ref="I41:J41"/>
    <mergeCell ref="K41:L41"/>
    <mergeCell ref="M41:N41"/>
    <mergeCell ref="I54:J54"/>
    <mergeCell ref="K54:L54"/>
    <mergeCell ref="U37:V37"/>
    <mergeCell ref="U38:V38"/>
    <mergeCell ref="U39:V39"/>
    <mergeCell ref="U40:V40"/>
    <mergeCell ref="U41:V41"/>
    <mergeCell ref="U42:V42"/>
    <mergeCell ref="U43:V43"/>
    <mergeCell ref="U44:V44"/>
    <mergeCell ref="O41:P41"/>
    <mergeCell ref="U45:V45"/>
    <mergeCell ref="U46:V46"/>
    <mergeCell ref="U47:V47"/>
    <mergeCell ref="U48:V48"/>
    <mergeCell ref="U49:V49"/>
    <mergeCell ref="U50:V50"/>
    <mergeCell ref="U51:V51"/>
    <mergeCell ref="U52:V52"/>
    <mergeCell ref="Q37:R37"/>
    <mergeCell ref="Q51:R51"/>
    <mergeCell ref="K55:L55"/>
    <mergeCell ref="M55:N55"/>
    <mergeCell ref="Q55:R55"/>
    <mergeCell ref="I56:J56"/>
    <mergeCell ref="K56:L56"/>
    <mergeCell ref="M56:N56"/>
    <mergeCell ref="Q56:R56"/>
    <mergeCell ref="I53:J53"/>
    <mergeCell ref="K53:L53"/>
    <mergeCell ref="M53:N53"/>
    <mergeCell ref="Q53:R53"/>
    <mergeCell ref="I52:J52"/>
    <mergeCell ref="K52:L52"/>
    <mergeCell ref="M52:N52"/>
    <mergeCell ref="Q52:R52"/>
    <mergeCell ref="I49:J49"/>
    <mergeCell ref="K49:L49"/>
    <mergeCell ref="M49:N49"/>
    <mergeCell ref="Q49:R49"/>
    <mergeCell ref="I50:J50"/>
    <mergeCell ref="I51:J51"/>
    <mergeCell ref="K51:L51"/>
    <mergeCell ref="M51:N51"/>
    <mergeCell ref="K43:L43"/>
    <mergeCell ref="B12:H12"/>
    <mergeCell ref="O56:P56"/>
    <mergeCell ref="O55:P55"/>
    <mergeCell ref="S6:AG6"/>
    <mergeCell ref="S5:X5"/>
    <mergeCell ref="O54:P54"/>
    <mergeCell ref="O48:P48"/>
    <mergeCell ref="O49:P49"/>
    <mergeCell ref="O50:P50"/>
    <mergeCell ref="O51:P51"/>
    <mergeCell ref="O52:P52"/>
    <mergeCell ref="O53:P53"/>
    <mergeCell ref="B53:H53"/>
    <mergeCell ref="I47:J47"/>
    <mergeCell ref="K47:L47"/>
    <mergeCell ref="M47:N47"/>
    <mergeCell ref="Q47:R47"/>
    <mergeCell ref="O45:P45"/>
    <mergeCell ref="O46:P46"/>
    <mergeCell ref="Q38:R38"/>
    <mergeCell ref="Q39:R39"/>
    <mergeCell ref="I55:J55"/>
    <mergeCell ref="B36:H36"/>
    <mergeCell ref="I48:J48"/>
    <mergeCell ref="K48:L48"/>
    <mergeCell ref="M48:N48"/>
    <mergeCell ref="B25:H25"/>
    <mergeCell ref="B26:H26"/>
    <mergeCell ref="I25:J25"/>
    <mergeCell ref="K25:L25"/>
    <mergeCell ref="O29:P29"/>
    <mergeCell ref="M25:N25"/>
    <mergeCell ref="M28:N28"/>
    <mergeCell ref="O28:P28"/>
    <mergeCell ref="B34:H34"/>
    <mergeCell ref="I34:J34"/>
    <mergeCell ref="K34:L34"/>
    <mergeCell ref="O35:P35"/>
    <mergeCell ref="B35:H35"/>
    <mergeCell ref="M34:N34"/>
    <mergeCell ref="O34:P34"/>
    <mergeCell ref="M35:N35"/>
    <mergeCell ref="O47:P47"/>
    <mergeCell ref="O43:P43"/>
    <mergeCell ref="B43:H43"/>
    <mergeCell ref="B44:H44"/>
    <mergeCell ref="I43:J43"/>
    <mergeCell ref="B24:H24"/>
    <mergeCell ref="O19:P19"/>
    <mergeCell ref="O17:P17"/>
    <mergeCell ref="O13:P13"/>
    <mergeCell ref="O18:P18"/>
    <mergeCell ref="Q18:R18"/>
    <mergeCell ref="Q19:R19"/>
    <mergeCell ref="O20:P20"/>
    <mergeCell ref="Q20:R20"/>
    <mergeCell ref="I21:J21"/>
    <mergeCell ref="K21:L21"/>
    <mergeCell ref="M21:N21"/>
    <mergeCell ref="I18:J18"/>
    <mergeCell ref="K18:L18"/>
    <mergeCell ref="M18:N18"/>
    <mergeCell ref="I19:J19"/>
    <mergeCell ref="K19:L19"/>
    <mergeCell ref="M19:N19"/>
    <mergeCell ref="I20:J20"/>
    <mergeCell ref="K20:L20"/>
    <mergeCell ref="M20:N20"/>
    <mergeCell ref="O21:P21"/>
    <mergeCell ref="Q21:R21"/>
    <mergeCell ref="B13:H13"/>
    <mergeCell ref="B14:H14"/>
    <mergeCell ref="B17:H17"/>
    <mergeCell ref="B18:H18"/>
    <mergeCell ref="B19:H19"/>
    <mergeCell ref="B20:H20"/>
    <mergeCell ref="S7:AG7"/>
    <mergeCell ref="O11:P11"/>
    <mergeCell ref="Q11:R11"/>
    <mergeCell ref="S4:W4"/>
    <mergeCell ref="A4:D4"/>
    <mergeCell ref="A5:H5"/>
    <mergeCell ref="A6:H6"/>
    <mergeCell ref="E4:R4"/>
    <mergeCell ref="I5:R5"/>
    <mergeCell ref="I6:R6"/>
    <mergeCell ref="A7:R9"/>
    <mergeCell ref="AF10:AG11"/>
    <mergeCell ref="AC10:AE11"/>
    <mergeCell ref="A10:A11"/>
    <mergeCell ref="X4:AG4"/>
    <mergeCell ref="Y5:AG5"/>
    <mergeCell ref="O12:P12"/>
    <mergeCell ref="AF12:AG12"/>
    <mergeCell ref="AF13:AG13"/>
    <mergeCell ref="B16:H16"/>
    <mergeCell ref="I16:J16"/>
    <mergeCell ref="K16:L16"/>
    <mergeCell ref="M16:N16"/>
    <mergeCell ref="O16:P16"/>
    <mergeCell ref="Q16:R16"/>
    <mergeCell ref="S16:T16"/>
    <mergeCell ref="U16:V16"/>
    <mergeCell ref="W16:AB16"/>
    <mergeCell ref="B15:H15"/>
    <mergeCell ref="I15:J15"/>
    <mergeCell ref="K15:L15"/>
    <mergeCell ref="M15:N15"/>
    <mergeCell ref="O15:P15"/>
    <mergeCell ref="Q15:R15"/>
    <mergeCell ref="S15:T15"/>
    <mergeCell ref="U15:V15"/>
    <mergeCell ref="W15:AB15"/>
  </mergeCells>
  <phoneticPr fontId="4" type="noConversion"/>
  <printOptions horizontalCentered="1"/>
  <pageMargins left="0.6692913385826772" right="0.55118110236220474" top="0.94488188976377963" bottom="0.47244094488188981" header="0.31496062992125984" footer="0.27559055118110237"/>
  <pageSetup paperSize="9" scale="72" orientation="portrait" r:id="rId1"/>
  <headerFooter>
    <oddHeader>&amp;R&amp;G</oddHeader>
    <oddFooter>&amp;LMHG-PU-F-0018&amp;CPPAP Template ; Rev.: 01/2019&amp;RJ.-U. Liedtke / PU-SD-GA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I59"/>
  <sheetViews>
    <sheetView showGridLines="0" zoomScaleNormal="100" workbookViewId="0">
      <selection activeCell="E4" sqref="E4:Q4"/>
    </sheetView>
  </sheetViews>
  <sheetFormatPr baseColWidth="10" defaultColWidth="9.140625" defaultRowHeight="12.75"/>
  <cols>
    <col min="1" max="1" width="5.28515625" customWidth="1"/>
    <col min="2" max="6" width="3.42578125" customWidth="1"/>
    <col min="7" max="7" width="6.42578125" customWidth="1"/>
    <col min="8" max="8" width="3.42578125" customWidth="1"/>
    <col min="9" max="10" width="3.140625" customWidth="1"/>
    <col min="11" max="11" width="3.42578125" customWidth="1"/>
    <col min="12" max="13" width="3.140625" customWidth="1"/>
    <col min="14" max="14" width="3.42578125" customWidth="1"/>
    <col min="15" max="15" width="4" customWidth="1"/>
    <col min="16" max="16" width="4.28515625" customWidth="1"/>
    <col min="17" max="17" width="6.42578125" customWidth="1"/>
    <col min="18" max="18" width="4.85546875" customWidth="1"/>
    <col min="19" max="21" width="3.42578125" customWidth="1"/>
    <col min="22" max="22" width="7.85546875" customWidth="1"/>
    <col min="23" max="23" width="3.7109375" customWidth="1"/>
    <col min="24" max="25" width="3.5703125" customWidth="1"/>
    <col min="26" max="26" width="3.7109375" customWidth="1"/>
    <col min="27" max="29" width="3.42578125" customWidth="1"/>
    <col min="30" max="30" width="4.7109375" customWidth="1"/>
    <col min="31" max="31" width="5.7109375" customWidth="1"/>
    <col min="32" max="35" width="9.140625" style="32"/>
  </cols>
  <sheetData>
    <row r="1" spans="1:35" ht="12.75" customHeight="1">
      <c r="A1" s="2"/>
      <c r="B1" s="2"/>
      <c r="C1" s="2"/>
      <c r="D1" s="2"/>
      <c r="E1" s="2"/>
      <c r="F1" s="2"/>
      <c r="G1" s="2"/>
      <c r="H1" s="2"/>
      <c r="I1" s="2"/>
      <c r="J1" s="2"/>
      <c r="K1" s="2"/>
      <c r="L1" s="2"/>
      <c r="M1" s="2"/>
      <c r="N1" s="2"/>
      <c r="O1" s="2"/>
      <c r="P1" s="114"/>
      <c r="Q1" s="690" t="str">
        <f>VLOOKUP("ppamaterialtestresult",Translations!$A:$T,MATCH(PSW!AO7,Translations!A1:P1,0),0)</f>
        <v xml:space="preserve">Production Part Approval 
Material Test Results </v>
      </c>
      <c r="R1" s="690"/>
      <c r="S1" s="690"/>
      <c r="T1" s="690"/>
      <c r="U1" s="690"/>
      <c r="V1" s="690"/>
      <c r="W1" s="690"/>
      <c r="X1" s="690"/>
      <c r="Y1" s="690"/>
      <c r="Z1" s="690"/>
      <c r="AA1" s="690"/>
      <c r="AB1" s="690"/>
      <c r="AC1" s="690"/>
      <c r="AD1" s="114"/>
      <c r="AE1" s="114"/>
    </row>
    <row r="2" spans="1:35" ht="12.75" customHeight="1">
      <c r="A2" s="2"/>
      <c r="B2" s="2"/>
      <c r="C2" s="2"/>
      <c r="D2" s="2"/>
      <c r="E2" s="2"/>
      <c r="F2" s="2"/>
      <c r="G2" s="2"/>
      <c r="H2" s="2"/>
      <c r="I2" s="2"/>
      <c r="J2" s="2"/>
      <c r="K2" s="2"/>
      <c r="L2" s="2"/>
      <c r="M2" s="2"/>
      <c r="N2" s="2"/>
      <c r="O2" s="2"/>
      <c r="P2" s="114"/>
      <c r="Q2" s="690"/>
      <c r="R2" s="690"/>
      <c r="S2" s="690"/>
      <c r="T2" s="690"/>
      <c r="U2" s="690"/>
      <c r="V2" s="690"/>
      <c r="W2" s="690"/>
      <c r="X2" s="690"/>
      <c r="Y2" s="690"/>
      <c r="Z2" s="690"/>
      <c r="AA2" s="690"/>
      <c r="AB2" s="690"/>
      <c r="AC2" s="690"/>
      <c r="AD2" s="114"/>
      <c r="AE2" s="114"/>
    </row>
    <row r="3" spans="1:35" ht="13.5" customHeight="1" thickBot="1">
      <c r="A3" s="4"/>
      <c r="B3" s="4"/>
      <c r="C3" s="4"/>
      <c r="D3" s="4"/>
      <c r="E3" s="4"/>
      <c r="F3" s="4"/>
      <c r="G3" s="4"/>
      <c r="H3" s="4"/>
      <c r="I3" s="4"/>
      <c r="J3" s="4"/>
      <c r="K3" s="4"/>
      <c r="L3" s="4"/>
      <c r="M3" s="4"/>
      <c r="N3" s="4"/>
      <c r="O3" s="4"/>
      <c r="P3" s="115"/>
      <c r="Q3" s="691"/>
      <c r="R3" s="691"/>
      <c r="S3" s="691"/>
      <c r="T3" s="691"/>
      <c r="U3" s="691"/>
      <c r="V3" s="691"/>
      <c r="W3" s="691"/>
      <c r="X3" s="691"/>
      <c r="Y3" s="691"/>
      <c r="Z3" s="691"/>
      <c r="AA3" s="691"/>
      <c r="AB3" s="691"/>
      <c r="AC3" s="691"/>
      <c r="AD3" s="115"/>
      <c r="AE3" s="115"/>
    </row>
    <row r="4" spans="1:35" ht="13.5" customHeight="1">
      <c r="A4" s="679" t="str">
        <f>'DIM Test'!A4</f>
        <v>ORGANIZATION:</v>
      </c>
      <c r="B4" s="680"/>
      <c r="C4" s="680"/>
      <c r="D4" s="680"/>
      <c r="E4" s="607" t="str">
        <f>'DIM Test'!E4</f>
        <v>?</v>
      </c>
      <c r="F4" s="607"/>
      <c r="G4" s="607"/>
      <c r="H4" s="607"/>
      <c r="I4" s="607"/>
      <c r="J4" s="607"/>
      <c r="K4" s="607"/>
      <c r="L4" s="607"/>
      <c r="M4" s="607"/>
      <c r="N4" s="607"/>
      <c r="O4" s="607"/>
      <c r="P4" s="607"/>
      <c r="Q4" s="608"/>
      <c r="R4" s="679" t="str">
        <f>'DIM Test'!S4</f>
        <v>PART NUMBER:</v>
      </c>
      <c r="S4" s="680"/>
      <c r="T4" s="680"/>
      <c r="U4" s="680"/>
      <c r="V4" s="607" t="str">
        <f>'DIM Test'!X4</f>
        <v>?</v>
      </c>
      <c r="W4" s="607"/>
      <c r="X4" s="607"/>
      <c r="Y4" s="607"/>
      <c r="Z4" s="607"/>
      <c r="AA4" s="607"/>
      <c r="AB4" s="607"/>
      <c r="AC4" s="607"/>
      <c r="AD4" s="607"/>
      <c r="AE4" s="608"/>
    </row>
    <row r="5" spans="1:35" ht="13.5" thickBot="1">
      <c r="A5" s="722" t="str">
        <f>'DIM Test'!A5</f>
        <v>SUPPLIER / VENDOR CODE:</v>
      </c>
      <c r="B5" s="723"/>
      <c r="C5" s="723"/>
      <c r="D5" s="723"/>
      <c r="E5" s="723"/>
      <c r="F5" s="723"/>
      <c r="G5" s="723"/>
      <c r="H5" s="712" t="str">
        <f>'DIM Test'!I5</f>
        <v>?</v>
      </c>
      <c r="I5" s="712"/>
      <c r="J5" s="712"/>
      <c r="K5" s="712"/>
      <c r="L5" s="712"/>
      <c r="M5" s="712"/>
      <c r="N5" s="712"/>
      <c r="O5" s="712"/>
      <c r="P5" s="712"/>
      <c r="Q5" s="713"/>
      <c r="R5" s="725" t="str">
        <f>'DIM Test'!S5</f>
        <v>PART NAME:</v>
      </c>
      <c r="S5" s="726"/>
      <c r="T5" s="726"/>
      <c r="U5" s="726"/>
      <c r="V5" s="726"/>
      <c r="W5" s="609" t="str">
        <f>'DIM Test'!Y5</f>
        <v>?</v>
      </c>
      <c r="X5" s="609"/>
      <c r="Y5" s="609"/>
      <c r="Z5" s="609"/>
      <c r="AA5" s="609"/>
      <c r="AB5" s="609"/>
      <c r="AC5" s="609"/>
      <c r="AD5" s="609"/>
      <c r="AE5" s="610"/>
    </row>
    <row r="6" spans="1:35" ht="13.5" customHeight="1">
      <c r="A6" s="679" t="str">
        <f>VLOOKUP("materialsupplier",Translations!$A:$T,MATCH(PSW!AO7,Translations!A1:P1,0),0)</f>
        <v>MATERIAL SUPPLIER:</v>
      </c>
      <c r="B6" s="680"/>
      <c r="C6" s="680"/>
      <c r="D6" s="680"/>
      <c r="E6" s="680"/>
      <c r="F6" s="680"/>
      <c r="G6" s="680"/>
      <c r="H6" s="607"/>
      <c r="I6" s="607"/>
      <c r="J6" s="607"/>
      <c r="K6" s="607"/>
      <c r="L6" s="607"/>
      <c r="M6" s="607"/>
      <c r="N6" s="607"/>
      <c r="O6" s="607"/>
      <c r="P6" s="607"/>
      <c r="Q6" s="608"/>
      <c r="R6" s="725" t="str">
        <f>'DIM Test'!S6</f>
        <v>DESIGN RECORD CHANGE LEVEL:</v>
      </c>
      <c r="S6" s="726"/>
      <c r="T6" s="726"/>
      <c r="U6" s="726"/>
      <c r="V6" s="726"/>
      <c r="W6" s="726"/>
      <c r="X6" s="726"/>
      <c r="Y6" s="726"/>
      <c r="Z6" s="726"/>
      <c r="AA6" s="726"/>
      <c r="AB6" s="726"/>
      <c r="AC6" s="726"/>
      <c r="AD6" s="726"/>
      <c r="AE6" s="727"/>
    </row>
    <row r="7" spans="1:35" ht="13.5" customHeight="1">
      <c r="A7" s="724" t="str">
        <f>VLOOKUP("customerspecifiedsuppvendorcode",Translations!$A:$T,MATCH(PSW!AO7,Translations!A1:P1,0),0)</f>
        <v>* CUSTOMER SPECIFIED SUPPLIER / VENDOR CODE:</v>
      </c>
      <c r="B7" s="471"/>
      <c r="C7" s="471"/>
      <c r="D7" s="471"/>
      <c r="E7" s="471"/>
      <c r="F7" s="471"/>
      <c r="G7" s="471"/>
      <c r="H7" s="471"/>
      <c r="I7" s="471"/>
      <c r="J7" s="471"/>
      <c r="K7" s="471"/>
      <c r="L7" s="471"/>
      <c r="M7" s="471"/>
      <c r="N7" s="609"/>
      <c r="O7" s="609"/>
      <c r="P7" s="609"/>
      <c r="Q7" s="610"/>
      <c r="R7" s="565" t="str">
        <f>'DIM Test'!S7</f>
        <v>?</v>
      </c>
      <c r="S7" s="599"/>
      <c r="T7" s="599"/>
      <c r="U7" s="599"/>
      <c r="V7" s="599"/>
      <c r="W7" s="599"/>
      <c r="X7" s="599"/>
      <c r="Y7" s="599"/>
      <c r="Z7" s="599"/>
      <c r="AA7" s="599"/>
      <c r="AB7" s="599"/>
      <c r="AC7" s="599"/>
      <c r="AD7" s="599"/>
      <c r="AE7" s="600"/>
    </row>
    <row r="8" spans="1:35" ht="13.5" customHeight="1">
      <c r="A8" s="716" t="str">
        <f>VLOOKUP("ifsourceapproval",Translations!$A:$T,MATCH(PSW!AO7,Translations!A1:P1,0),0)</f>
        <v>* If source approval is required, include the Supplier (Source) &amp; Customer assigned code</v>
      </c>
      <c r="B8" s="717"/>
      <c r="C8" s="717"/>
      <c r="D8" s="717"/>
      <c r="E8" s="717"/>
      <c r="F8" s="717"/>
      <c r="G8" s="717"/>
      <c r="H8" s="717"/>
      <c r="I8" s="717"/>
      <c r="J8" s="717"/>
      <c r="K8" s="717"/>
      <c r="L8" s="717"/>
      <c r="M8" s="717"/>
      <c r="N8" s="717"/>
      <c r="O8" s="717"/>
      <c r="P8" s="717"/>
      <c r="Q8" s="718"/>
      <c r="R8" s="725" t="str">
        <f>VLOOKUP("engineeringchange",Translations!$A:$T,MATCH(PSW!AO7,Translations!A1:P1,0),0)</f>
        <v>ENGINEERING CHANGE DOCUMENTS:</v>
      </c>
      <c r="S8" s="726"/>
      <c r="T8" s="726"/>
      <c r="U8" s="726"/>
      <c r="V8" s="726"/>
      <c r="W8" s="726"/>
      <c r="X8" s="726"/>
      <c r="Y8" s="726"/>
      <c r="Z8" s="726"/>
      <c r="AA8" s="726"/>
      <c r="AB8" s="726"/>
      <c r="AC8" s="726"/>
      <c r="AD8" s="726"/>
      <c r="AE8" s="727"/>
    </row>
    <row r="9" spans="1:35" ht="13.5" customHeight="1">
      <c r="A9" s="716"/>
      <c r="B9" s="717"/>
      <c r="C9" s="717"/>
      <c r="D9" s="717"/>
      <c r="E9" s="717"/>
      <c r="F9" s="717"/>
      <c r="G9" s="717"/>
      <c r="H9" s="717"/>
      <c r="I9" s="717"/>
      <c r="J9" s="717"/>
      <c r="K9" s="717"/>
      <c r="L9" s="717"/>
      <c r="M9" s="717"/>
      <c r="N9" s="717"/>
      <c r="O9" s="717"/>
      <c r="P9" s="717"/>
      <c r="Q9" s="718"/>
      <c r="R9" s="565" t="str">
        <f>'DIM Test'!S9</f>
        <v>?</v>
      </c>
      <c r="S9" s="599"/>
      <c r="T9" s="599"/>
      <c r="U9" s="599"/>
      <c r="V9" s="599"/>
      <c r="W9" s="599"/>
      <c r="X9" s="599"/>
      <c r="Y9" s="599"/>
      <c r="Z9" s="599"/>
      <c r="AA9" s="599"/>
      <c r="AB9" s="599"/>
      <c r="AC9" s="599"/>
      <c r="AD9" s="599"/>
      <c r="AE9" s="600"/>
    </row>
    <row r="10" spans="1:35" ht="13.5" thickBot="1">
      <c r="A10" s="719"/>
      <c r="B10" s="720"/>
      <c r="C10" s="720"/>
      <c r="D10" s="720"/>
      <c r="E10" s="720"/>
      <c r="F10" s="720"/>
      <c r="G10" s="720"/>
      <c r="H10" s="720"/>
      <c r="I10" s="720"/>
      <c r="J10" s="720"/>
      <c r="K10" s="720"/>
      <c r="L10" s="720"/>
      <c r="M10" s="720"/>
      <c r="N10" s="720"/>
      <c r="O10" s="720"/>
      <c r="P10" s="720"/>
      <c r="Q10" s="721"/>
      <c r="R10" s="722" t="str">
        <f>VLOOKUP("nameoflab",Translations!$A:$T,MATCH(PSW!AO7,Translations!A1:P1,0),0)</f>
        <v>NAME OF LABORATORY:</v>
      </c>
      <c r="S10" s="723"/>
      <c r="T10" s="723"/>
      <c r="U10" s="723"/>
      <c r="V10" s="723"/>
      <c r="W10" s="712" t="s">
        <v>365</v>
      </c>
      <c r="X10" s="712"/>
      <c r="Y10" s="712"/>
      <c r="Z10" s="712"/>
      <c r="AA10" s="712"/>
      <c r="AB10" s="712"/>
      <c r="AC10" s="712"/>
      <c r="AD10" s="712"/>
      <c r="AE10" s="713"/>
    </row>
    <row r="11" spans="1:35" ht="26.25" customHeight="1">
      <c r="A11" s="617" t="str">
        <f>VLOOKUP("materiaspecnorevdate",Translations!$A:$T,MATCH(PSW!AO7,Translations!A1:P1,0),0)</f>
        <v>MATERIAL SPEC. NO. / REV / DATE</v>
      </c>
      <c r="B11" s="621"/>
      <c r="C11" s="621"/>
      <c r="D11" s="621"/>
      <c r="E11" s="621"/>
      <c r="F11" s="621"/>
      <c r="G11" s="621"/>
      <c r="H11" s="617" t="str">
        <f>VLOOKUP("specificattionlimits",Translations!$A:$T,MATCH(PSW!AO7,Translations!A1:P1,0),0)</f>
        <v>SPECIFICATION / LIMITS</v>
      </c>
      <c r="I11" s="621"/>
      <c r="J11" s="621"/>
      <c r="K11" s="621"/>
      <c r="L11" s="621"/>
      <c r="M11" s="618"/>
      <c r="N11" s="621" t="str">
        <f>VLOOKUP("testdate",Translations!$A:$T,MATCH(PSW!AO7,Translations!A1:P1,0),0)</f>
        <v>TEST DATE</v>
      </c>
      <c r="O11" s="621"/>
      <c r="P11" s="617" t="str">
        <f>VLOOKUP("qtytested",Translations!$A:$T,MATCH(PSW!AO7,Translations!A1:P1,0),0)</f>
        <v>QTY. TESTED</v>
      </c>
      <c r="Q11" s="618"/>
      <c r="R11" s="617" t="str">
        <f>VLOOKUP("suppliertestresultdata",Translations!$A:$T,MATCH(PSW!AO7,Translations!A1:P1,0),0)</f>
        <v>SUPPLIER TEST RESULTS (DATA)</v>
      </c>
      <c r="S11" s="621"/>
      <c r="T11" s="621"/>
      <c r="U11" s="621"/>
      <c r="V11" s="618"/>
      <c r="W11" s="728" t="str">
        <f>VLOOKUP("specificationfulfilled",Translations!$A:$T,MATCH(PSW!AO7,Translations!A1:P1,0),0)</f>
        <v>SPECIFICATION FULFILLED</v>
      </c>
      <c r="X11" s="729"/>
      <c r="Y11" s="729"/>
      <c r="Z11" s="729"/>
      <c r="AA11" s="617" t="str">
        <f>VLOOKUP("comment",Translations!$A:$T,MATCH(PSW!AO7,Translations!A1:P1,0),0)</f>
        <v>COMMENT</v>
      </c>
      <c r="AB11" s="621"/>
      <c r="AC11" s="621"/>
      <c r="AD11" s="621"/>
      <c r="AE11" s="618"/>
      <c r="AF11" s="83"/>
      <c r="AG11" s="83"/>
    </row>
    <row r="12" spans="1:35" ht="25.5" customHeight="1" thickBot="1">
      <c r="A12" s="619"/>
      <c r="B12" s="622"/>
      <c r="C12" s="622"/>
      <c r="D12" s="622"/>
      <c r="E12" s="622"/>
      <c r="F12" s="622"/>
      <c r="G12" s="622"/>
      <c r="H12" s="619"/>
      <c r="I12" s="622"/>
      <c r="J12" s="622"/>
      <c r="K12" s="622"/>
      <c r="L12" s="622"/>
      <c r="M12" s="620"/>
      <c r="N12" s="622"/>
      <c r="O12" s="622"/>
      <c r="P12" s="619"/>
      <c r="Q12" s="620"/>
      <c r="R12" s="619"/>
      <c r="S12" s="622"/>
      <c r="T12" s="622"/>
      <c r="U12" s="622"/>
      <c r="V12" s="620"/>
      <c r="W12" s="658" t="str">
        <f>VLOOKUP("ok",Translations!$A:$T,MATCH(PSW!AO7,Translations!A1:P1,0),0)</f>
        <v>OK</v>
      </c>
      <c r="X12" s="659"/>
      <c r="Y12" s="660" t="str">
        <f>VLOOKUP("notok",Translations!$A:$T,MATCH(PSW!AO7,Translations!A1:P1,0),0)</f>
        <v>NOT OK</v>
      </c>
      <c r="Z12" s="661"/>
      <c r="AA12" s="619"/>
      <c r="AB12" s="622"/>
      <c r="AC12" s="622"/>
      <c r="AD12" s="622"/>
      <c r="AE12" s="620"/>
      <c r="AF12" s="83"/>
      <c r="AG12" s="83"/>
      <c r="AI12" s="278"/>
    </row>
    <row r="13" spans="1:35" ht="18" customHeight="1">
      <c r="A13" s="633"/>
      <c r="B13" s="634"/>
      <c r="C13" s="634"/>
      <c r="D13" s="634"/>
      <c r="E13" s="634"/>
      <c r="F13" s="634"/>
      <c r="G13" s="634"/>
      <c r="H13" s="633"/>
      <c r="I13" s="634"/>
      <c r="J13" s="634"/>
      <c r="K13" s="634"/>
      <c r="L13" s="634"/>
      <c r="M13" s="635"/>
      <c r="N13" s="634"/>
      <c r="O13" s="634"/>
      <c r="P13" s="633"/>
      <c r="Q13" s="635"/>
      <c r="R13" s="714"/>
      <c r="S13" s="714"/>
      <c r="T13" s="714"/>
      <c r="U13" s="714"/>
      <c r="V13" s="715"/>
      <c r="W13" s="730"/>
      <c r="X13" s="731"/>
      <c r="Y13" s="732"/>
      <c r="Z13" s="732"/>
      <c r="AA13" s="633"/>
      <c r="AB13" s="634"/>
      <c r="AC13" s="634"/>
      <c r="AD13" s="634"/>
      <c r="AE13" s="635"/>
      <c r="AF13" s="708"/>
      <c r="AG13" s="708"/>
    </row>
    <row r="14" spans="1:35" ht="18" customHeight="1">
      <c r="A14" s="587"/>
      <c r="B14" s="588"/>
      <c r="C14" s="588"/>
      <c r="D14" s="588"/>
      <c r="E14" s="588"/>
      <c r="F14" s="588"/>
      <c r="G14" s="588"/>
      <c r="H14" s="587"/>
      <c r="I14" s="588"/>
      <c r="J14" s="588"/>
      <c r="K14" s="588"/>
      <c r="L14" s="588"/>
      <c r="M14" s="589"/>
      <c r="N14" s="588"/>
      <c r="O14" s="588"/>
      <c r="P14" s="587"/>
      <c r="Q14" s="589"/>
      <c r="R14" s="588"/>
      <c r="S14" s="588"/>
      <c r="T14" s="588"/>
      <c r="U14" s="588"/>
      <c r="V14" s="589"/>
      <c r="W14" s="630"/>
      <c r="X14" s="705"/>
      <c r="Y14" s="706"/>
      <c r="Z14" s="631"/>
      <c r="AA14" s="587"/>
      <c r="AB14" s="588"/>
      <c r="AC14" s="588"/>
      <c r="AD14" s="588"/>
      <c r="AE14" s="589"/>
      <c r="AF14" s="708"/>
      <c r="AG14" s="708"/>
    </row>
    <row r="15" spans="1:35" ht="18" customHeight="1">
      <c r="A15" s="587"/>
      <c r="B15" s="588"/>
      <c r="C15" s="588"/>
      <c r="D15" s="588"/>
      <c r="E15" s="588"/>
      <c r="F15" s="588"/>
      <c r="G15" s="588"/>
      <c r="H15" s="587"/>
      <c r="I15" s="588"/>
      <c r="J15" s="588"/>
      <c r="K15" s="588"/>
      <c r="L15" s="588"/>
      <c r="M15" s="589"/>
      <c r="N15" s="588"/>
      <c r="O15" s="588"/>
      <c r="P15" s="587"/>
      <c r="Q15" s="589"/>
      <c r="R15" s="588"/>
      <c r="S15" s="588"/>
      <c r="T15" s="588"/>
      <c r="U15" s="588"/>
      <c r="V15" s="589"/>
      <c r="W15" s="630"/>
      <c r="X15" s="705"/>
      <c r="Y15" s="706"/>
      <c r="Z15" s="631"/>
      <c r="AA15" s="587"/>
      <c r="AB15" s="588"/>
      <c r="AC15" s="588"/>
      <c r="AD15" s="588"/>
      <c r="AE15" s="589"/>
      <c r="AF15" s="708"/>
      <c r="AG15" s="708"/>
    </row>
    <row r="16" spans="1:35" ht="18" customHeight="1">
      <c r="A16" s="587"/>
      <c r="B16" s="588"/>
      <c r="C16" s="588"/>
      <c r="D16" s="588"/>
      <c r="E16" s="588"/>
      <c r="F16" s="588"/>
      <c r="G16" s="588"/>
      <c r="H16" s="587"/>
      <c r="I16" s="588"/>
      <c r="J16" s="588"/>
      <c r="K16" s="588"/>
      <c r="L16" s="588"/>
      <c r="M16" s="589"/>
      <c r="N16" s="588"/>
      <c r="O16" s="588"/>
      <c r="P16" s="587"/>
      <c r="Q16" s="589"/>
      <c r="R16" s="588"/>
      <c r="S16" s="588"/>
      <c r="T16" s="588"/>
      <c r="U16" s="588"/>
      <c r="V16" s="589"/>
      <c r="W16" s="630"/>
      <c r="X16" s="705"/>
      <c r="Y16" s="706"/>
      <c r="Z16" s="631"/>
      <c r="AA16" s="587"/>
      <c r="AB16" s="588"/>
      <c r="AC16" s="588"/>
      <c r="AD16" s="588"/>
      <c r="AE16" s="589"/>
      <c r="AF16" s="708"/>
      <c r="AG16" s="708"/>
    </row>
    <row r="17" spans="1:33" ht="18" customHeight="1">
      <c r="A17" s="587"/>
      <c r="B17" s="588"/>
      <c r="C17" s="588"/>
      <c r="D17" s="588"/>
      <c r="E17" s="588"/>
      <c r="F17" s="588"/>
      <c r="G17" s="588"/>
      <c r="H17" s="587"/>
      <c r="I17" s="588"/>
      <c r="J17" s="588"/>
      <c r="K17" s="588"/>
      <c r="L17" s="588"/>
      <c r="M17" s="589"/>
      <c r="N17" s="588"/>
      <c r="O17" s="588"/>
      <c r="P17" s="587"/>
      <c r="Q17" s="589"/>
      <c r="R17" s="588"/>
      <c r="S17" s="588"/>
      <c r="T17" s="588"/>
      <c r="U17" s="588"/>
      <c r="V17" s="589"/>
      <c r="W17" s="630"/>
      <c r="X17" s="705"/>
      <c r="Y17" s="706"/>
      <c r="Z17" s="631"/>
      <c r="AA17" s="587"/>
      <c r="AB17" s="588"/>
      <c r="AC17" s="588"/>
      <c r="AD17" s="588"/>
      <c r="AE17" s="589"/>
      <c r="AF17" s="708"/>
      <c r="AG17" s="708"/>
    </row>
    <row r="18" spans="1:33" ht="18" customHeight="1">
      <c r="A18" s="587"/>
      <c r="B18" s="588"/>
      <c r="C18" s="588"/>
      <c r="D18" s="588"/>
      <c r="E18" s="588"/>
      <c r="F18" s="588"/>
      <c r="G18" s="588"/>
      <c r="H18" s="587"/>
      <c r="I18" s="588"/>
      <c r="J18" s="588"/>
      <c r="K18" s="588"/>
      <c r="L18" s="588"/>
      <c r="M18" s="589"/>
      <c r="N18" s="588"/>
      <c r="O18" s="588"/>
      <c r="P18" s="587"/>
      <c r="Q18" s="589"/>
      <c r="R18" s="588"/>
      <c r="S18" s="588"/>
      <c r="T18" s="588"/>
      <c r="U18" s="588"/>
      <c r="V18" s="589"/>
      <c r="W18" s="630"/>
      <c r="X18" s="705"/>
      <c r="Y18" s="706"/>
      <c r="Z18" s="631"/>
      <c r="AA18" s="587"/>
      <c r="AB18" s="588"/>
      <c r="AC18" s="588"/>
      <c r="AD18" s="588"/>
      <c r="AE18" s="589"/>
      <c r="AF18" s="708"/>
      <c r="AG18" s="708"/>
    </row>
    <row r="19" spans="1:33" ht="18" customHeight="1">
      <c r="A19" s="587"/>
      <c r="B19" s="588"/>
      <c r="C19" s="588"/>
      <c r="D19" s="588"/>
      <c r="E19" s="588"/>
      <c r="F19" s="588"/>
      <c r="G19" s="588"/>
      <c r="H19" s="587"/>
      <c r="I19" s="588"/>
      <c r="J19" s="588"/>
      <c r="K19" s="588"/>
      <c r="L19" s="588"/>
      <c r="M19" s="589"/>
      <c r="N19" s="588"/>
      <c r="O19" s="588"/>
      <c r="P19" s="587"/>
      <c r="Q19" s="589"/>
      <c r="R19" s="588"/>
      <c r="S19" s="588"/>
      <c r="T19" s="588"/>
      <c r="U19" s="588"/>
      <c r="V19" s="589"/>
      <c r="W19" s="630"/>
      <c r="X19" s="705"/>
      <c r="Y19" s="706"/>
      <c r="Z19" s="631"/>
      <c r="AA19" s="587"/>
      <c r="AB19" s="588"/>
      <c r="AC19" s="588"/>
      <c r="AD19" s="588"/>
      <c r="AE19" s="589"/>
      <c r="AF19" s="708"/>
      <c r="AG19" s="708"/>
    </row>
    <row r="20" spans="1:33" ht="18" customHeight="1">
      <c r="A20" s="587"/>
      <c r="B20" s="588"/>
      <c r="C20" s="588"/>
      <c r="D20" s="588"/>
      <c r="E20" s="588"/>
      <c r="F20" s="588"/>
      <c r="G20" s="588"/>
      <c r="H20" s="587"/>
      <c r="I20" s="588"/>
      <c r="J20" s="588"/>
      <c r="K20" s="588"/>
      <c r="L20" s="588"/>
      <c r="M20" s="589"/>
      <c r="N20" s="588"/>
      <c r="O20" s="588"/>
      <c r="P20" s="587"/>
      <c r="Q20" s="589"/>
      <c r="R20" s="588"/>
      <c r="S20" s="588"/>
      <c r="T20" s="588"/>
      <c r="U20" s="588"/>
      <c r="V20" s="589"/>
      <c r="W20" s="630"/>
      <c r="X20" s="705"/>
      <c r="Y20" s="706"/>
      <c r="Z20" s="631"/>
      <c r="AA20" s="587"/>
      <c r="AB20" s="588"/>
      <c r="AC20" s="588"/>
      <c r="AD20" s="588"/>
      <c r="AE20" s="589"/>
      <c r="AF20" s="708"/>
      <c r="AG20" s="708"/>
    </row>
    <row r="21" spans="1:33" ht="18" customHeight="1">
      <c r="A21" s="587"/>
      <c r="B21" s="588"/>
      <c r="C21" s="588"/>
      <c r="D21" s="588"/>
      <c r="E21" s="588"/>
      <c r="F21" s="588"/>
      <c r="G21" s="588"/>
      <c r="H21" s="587"/>
      <c r="I21" s="588"/>
      <c r="J21" s="588"/>
      <c r="K21" s="588"/>
      <c r="L21" s="588"/>
      <c r="M21" s="589"/>
      <c r="N21" s="588"/>
      <c r="O21" s="588"/>
      <c r="P21" s="587"/>
      <c r="Q21" s="589"/>
      <c r="R21" s="588"/>
      <c r="S21" s="588"/>
      <c r="T21" s="588"/>
      <c r="U21" s="588"/>
      <c r="V21" s="589"/>
      <c r="W21" s="630"/>
      <c r="X21" s="705"/>
      <c r="Y21" s="706"/>
      <c r="Z21" s="631"/>
      <c r="AA21" s="587"/>
      <c r="AB21" s="588"/>
      <c r="AC21" s="588"/>
      <c r="AD21" s="588"/>
      <c r="AE21" s="589"/>
      <c r="AF21" s="708"/>
      <c r="AG21" s="708"/>
    </row>
    <row r="22" spans="1:33" ht="18" customHeight="1">
      <c r="A22" s="587"/>
      <c r="B22" s="588"/>
      <c r="C22" s="588"/>
      <c r="D22" s="588"/>
      <c r="E22" s="588"/>
      <c r="F22" s="588"/>
      <c r="G22" s="588"/>
      <c r="H22" s="587"/>
      <c r="I22" s="588"/>
      <c r="J22" s="588"/>
      <c r="K22" s="588"/>
      <c r="L22" s="588"/>
      <c r="M22" s="589"/>
      <c r="N22" s="588"/>
      <c r="O22" s="588"/>
      <c r="P22" s="587"/>
      <c r="Q22" s="589"/>
      <c r="R22" s="588"/>
      <c r="S22" s="588"/>
      <c r="T22" s="588"/>
      <c r="U22" s="588"/>
      <c r="V22" s="589"/>
      <c r="W22" s="630"/>
      <c r="X22" s="705"/>
      <c r="Y22" s="706"/>
      <c r="Z22" s="631"/>
      <c r="AA22" s="587"/>
      <c r="AB22" s="588"/>
      <c r="AC22" s="588"/>
      <c r="AD22" s="588"/>
      <c r="AE22" s="589"/>
      <c r="AF22" s="708"/>
      <c r="AG22" s="708"/>
    </row>
    <row r="23" spans="1:33" ht="18" customHeight="1">
      <c r="A23" s="587"/>
      <c r="B23" s="588"/>
      <c r="C23" s="588"/>
      <c r="D23" s="588"/>
      <c r="E23" s="588"/>
      <c r="F23" s="588"/>
      <c r="G23" s="588"/>
      <c r="H23" s="587"/>
      <c r="I23" s="588"/>
      <c r="J23" s="588"/>
      <c r="K23" s="588"/>
      <c r="L23" s="588"/>
      <c r="M23" s="589"/>
      <c r="N23" s="588"/>
      <c r="O23" s="588"/>
      <c r="P23" s="587"/>
      <c r="Q23" s="589"/>
      <c r="R23" s="588"/>
      <c r="S23" s="588"/>
      <c r="T23" s="588"/>
      <c r="U23" s="588"/>
      <c r="V23" s="589"/>
      <c r="W23" s="630"/>
      <c r="X23" s="705"/>
      <c r="Y23" s="706"/>
      <c r="Z23" s="631"/>
      <c r="AA23" s="587"/>
      <c r="AB23" s="588"/>
      <c r="AC23" s="588"/>
      <c r="AD23" s="588"/>
      <c r="AE23" s="589"/>
      <c r="AF23" s="708"/>
      <c r="AG23" s="708"/>
    </row>
    <row r="24" spans="1:33" ht="18" customHeight="1">
      <c r="A24" s="587"/>
      <c r="B24" s="588"/>
      <c r="C24" s="588"/>
      <c r="D24" s="588"/>
      <c r="E24" s="588"/>
      <c r="F24" s="588"/>
      <c r="G24" s="588"/>
      <c r="H24" s="587"/>
      <c r="I24" s="588"/>
      <c r="J24" s="588"/>
      <c r="K24" s="588"/>
      <c r="L24" s="588"/>
      <c r="M24" s="589"/>
      <c r="N24" s="588"/>
      <c r="O24" s="588"/>
      <c r="P24" s="587"/>
      <c r="Q24" s="589"/>
      <c r="R24" s="588"/>
      <c r="S24" s="588"/>
      <c r="T24" s="588"/>
      <c r="U24" s="588"/>
      <c r="V24" s="589"/>
      <c r="W24" s="630"/>
      <c r="X24" s="705"/>
      <c r="Y24" s="706"/>
      <c r="Z24" s="631"/>
      <c r="AA24" s="587"/>
      <c r="AB24" s="588"/>
      <c r="AC24" s="588"/>
      <c r="AD24" s="588"/>
      <c r="AE24" s="589"/>
      <c r="AF24" s="708"/>
      <c r="AG24" s="708"/>
    </row>
    <row r="25" spans="1:33" ht="18" customHeight="1">
      <c r="A25" s="587"/>
      <c r="B25" s="588"/>
      <c r="C25" s="588"/>
      <c r="D25" s="588"/>
      <c r="E25" s="588"/>
      <c r="F25" s="588"/>
      <c r="G25" s="588"/>
      <c r="H25" s="587"/>
      <c r="I25" s="588"/>
      <c r="J25" s="588"/>
      <c r="K25" s="588"/>
      <c r="L25" s="588"/>
      <c r="M25" s="589"/>
      <c r="N25" s="588"/>
      <c r="O25" s="588"/>
      <c r="P25" s="587"/>
      <c r="Q25" s="589"/>
      <c r="R25" s="588"/>
      <c r="S25" s="588"/>
      <c r="T25" s="588"/>
      <c r="U25" s="588"/>
      <c r="V25" s="589"/>
      <c r="W25" s="630"/>
      <c r="X25" s="705"/>
      <c r="Y25" s="706"/>
      <c r="Z25" s="631"/>
      <c r="AA25" s="587"/>
      <c r="AB25" s="588"/>
      <c r="AC25" s="588"/>
      <c r="AD25" s="588"/>
      <c r="AE25" s="589"/>
      <c r="AF25" s="708"/>
      <c r="AG25" s="708"/>
    </row>
    <row r="26" spans="1:33" ht="18" customHeight="1">
      <c r="A26" s="587"/>
      <c r="B26" s="588"/>
      <c r="C26" s="588"/>
      <c r="D26" s="588"/>
      <c r="E26" s="588"/>
      <c r="F26" s="588"/>
      <c r="G26" s="588"/>
      <c r="H26" s="587"/>
      <c r="I26" s="588"/>
      <c r="J26" s="588"/>
      <c r="K26" s="588"/>
      <c r="L26" s="588"/>
      <c r="M26" s="589"/>
      <c r="N26" s="588"/>
      <c r="O26" s="588"/>
      <c r="P26" s="587"/>
      <c r="Q26" s="589"/>
      <c r="R26" s="588"/>
      <c r="S26" s="588"/>
      <c r="T26" s="588"/>
      <c r="U26" s="588"/>
      <c r="V26" s="589"/>
      <c r="W26" s="630"/>
      <c r="X26" s="705"/>
      <c r="Y26" s="706"/>
      <c r="Z26" s="631"/>
      <c r="AA26" s="587"/>
      <c r="AB26" s="588"/>
      <c r="AC26" s="588"/>
      <c r="AD26" s="588"/>
      <c r="AE26" s="589"/>
      <c r="AF26" s="708"/>
      <c r="AG26" s="708"/>
    </row>
    <row r="27" spans="1:33" ht="18" customHeight="1">
      <c r="A27" s="587"/>
      <c r="B27" s="588"/>
      <c r="C27" s="588"/>
      <c r="D27" s="588"/>
      <c r="E27" s="588"/>
      <c r="F27" s="588"/>
      <c r="G27" s="588"/>
      <c r="H27" s="587"/>
      <c r="I27" s="588"/>
      <c r="J27" s="588"/>
      <c r="K27" s="588"/>
      <c r="L27" s="588"/>
      <c r="M27" s="589"/>
      <c r="N27" s="588"/>
      <c r="O27" s="588"/>
      <c r="P27" s="587"/>
      <c r="Q27" s="589"/>
      <c r="R27" s="588"/>
      <c r="S27" s="588"/>
      <c r="T27" s="588"/>
      <c r="U27" s="588"/>
      <c r="V27" s="589"/>
      <c r="W27" s="630"/>
      <c r="X27" s="705"/>
      <c r="Y27" s="706"/>
      <c r="Z27" s="631"/>
      <c r="AA27" s="587"/>
      <c r="AB27" s="588"/>
      <c r="AC27" s="588"/>
      <c r="AD27" s="588"/>
      <c r="AE27" s="589"/>
      <c r="AF27" s="708"/>
      <c r="AG27" s="708"/>
    </row>
    <row r="28" spans="1:33" ht="18" customHeight="1">
      <c r="A28" s="587"/>
      <c r="B28" s="588"/>
      <c r="C28" s="588"/>
      <c r="D28" s="588"/>
      <c r="E28" s="588"/>
      <c r="F28" s="588"/>
      <c r="G28" s="588"/>
      <c r="H28" s="587"/>
      <c r="I28" s="588"/>
      <c r="J28" s="588"/>
      <c r="K28" s="588"/>
      <c r="L28" s="588"/>
      <c r="M28" s="589"/>
      <c r="N28" s="588"/>
      <c r="O28" s="588"/>
      <c r="P28" s="587"/>
      <c r="Q28" s="589"/>
      <c r="R28" s="588"/>
      <c r="S28" s="588"/>
      <c r="T28" s="588"/>
      <c r="U28" s="588"/>
      <c r="V28" s="589"/>
      <c r="W28" s="630"/>
      <c r="X28" s="705"/>
      <c r="Y28" s="706"/>
      <c r="Z28" s="631"/>
      <c r="AA28" s="587"/>
      <c r="AB28" s="588"/>
      <c r="AC28" s="588"/>
      <c r="AD28" s="588"/>
      <c r="AE28" s="589"/>
      <c r="AF28" s="708"/>
      <c r="AG28" s="708"/>
    </row>
    <row r="29" spans="1:33" ht="18" customHeight="1">
      <c r="A29" s="587"/>
      <c r="B29" s="588"/>
      <c r="C29" s="588"/>
      <c r="D29" s="588"/>
      <c r="E29" s="588"/>
      <c r="F29" s="588"/>
      <c r="G29" s="588"/>
      <c r="H29" s="587"/>
      <c r="I29" s="588"/>
      <c r="J29" s="588"/>
      <c r="K29" s="588"/>
      <c r="L29" s="588"/>
      <c r="M29" s="589"/>
      <c r="N29" s="588"/>
      <c r="O29" s="588"/>
      <c r="P29" s="587"/>
      <c r="Q29" s="589"/>
      <c r="R29" s="588"/>
      <c r="S29" s="588"/>
      <c r="T29" s="588"/>
      <c r="U29" s="588"/>
      <c r="V29" s="589"/>
      <c r="W29" s="630"/>
      <c r="X29" s="705"/>
      <c r="Y29" s="706"/>
      <c r="Z29" s="631"/>
      <c r="AA29" s="587"/>
      <c r="AB29" s="588"/>
      <c r="AC29" s="588"/>
      <c r="AD29" s="588"/>
      <c r="AE29" s="589"/>
      <c r="AF29" s="708"/>
      <c r="AG29" s="708"/>
    </row>
    <row r="30" spans="1:33" ht="18" customHeight="1">
      <c r="A30" s="587"/>
      <c r="B30" s="588"/>
      <c r="C30" s="588"/>
      <c r="D30" s="588"/>
      <c r="E30" s="588"/>
      <c r="F30" s="588"/>
      <c r="G30" s="588"/>
      <c r="H30" s="587"/>
      <c r="I30" s="588"/>
      <c r="J30" s="588"/>
      <c r="K30" s="588"/>
      <c r="L30" s="588"/>
      <c r="M30" s="589"/>
      <c r="N30" s="588"/>
      <c r="O30" s="588"/>
      <c r="P30" s="587"/>
      <c r="Q30" s="589"/>
      <c r="R30" s="588"/>
      <c r="S30" s="588"/>
      <c r="T30" s="588"/>
      <c r="U30" s="588"/>
      <c r="V30" s="589"/>
      <c r="W30" s="630"/>
      <c r="X30" s="705"/>
      <c r="Y30" s="706"/>
      <c r="Z30" s="631"/>
      <c r="AA30" s="587"/>
      <c r="AB30" s="588"/>
      <c r="AC30" s="588"/>
      <c r="AD30" s="588"/>
      <c r="AE30" s="589"/>
      <c r="AF30" s="708"/>
      <c r="AG30" s="708"/>
    </row>
    <row r="31" spans="1:33" ht="18" customHeight="1">
      <c r="A31" s="587"/>
      <c r="B31" s="588"/>
      <c r="C31" s="588"/>
      <c r="D31" s="588"/>
      <c r="E31" s="588"/>
      <c r="F31" s="588"/>
      <c r="G31" s="588"/>
      <c r="H31" s="587"/>
      <c r="I31" s="588"/>
      <c r="J31" s="588"/>
      <c r="K31" s="588"/>
      <c r="L31" s="588"/>
      <c r="M31" s="589"/>
      <c r="N31" s="588"/>
      <c r="O31" s="588"/>
      <c r="P31" s="587"/>
      <c r="Q31" s="589"/>
      <c r="R31" s="588"/>
      <c r="S31" s="588"/>
      <c r="T31" s="588"/>
      <c r="U31" s="588"/>
      <c r="V31" s="589"/>
      <c r="W31" s="630"/>
      <c r="X31" s="705"/>
      <c r="Y31" s="706"/>
      <c r="Z31" s="631"/>
      <c r="AA31" s="587"/>
      <c r="AB31" s="588"/>
      <c r="AC31" s="588"/>
      <c r="AD31" s="588"/>
      <c r="AE31" s="589"/>
      <c r="AF31" s="708"/>
      <c r="AG31" s="708"/>
    </row>
    <row r="32" spans="1:33" ht="18" customHeight="1">
      <c r="A32" s="587"/>
      <c r="B32" s="588"/>
      <c r="C32" s="588"/>
      <c r="D32" s="588"/>
      <c r="E32" s="588"/>
      <c r="F32" s="588"/>
      <c r="G32" s="588"/>
      <c r="H32" s="587"/>
      <c r="I32" s="588"/>
      <c r="J32" s="588"/>
      <c r="K32" s="588"/>
      <c r="L32" s="588"/>
      <c r="M32" s="589"/>
      <c r="N32" s="588"/>
      <c r="O32" s="588"/>
      <c r="P32" s="587"/>
      <c r="Q32" s="589"/>
      <c r="R32" s="588"/>
      <c r="S32" s="588"/>
      <c r="T32" s="588"/>
      <c r="U32" s="588"/>
      <c r="V32" s="589"/>
      <c r="W32" s="630"/>
      <c r="X32" s="705"/>
      <c r="Y32" s="706"/>
      <c r="Z32" s="631"/>
      <c r="AA32" s="587"/>
      <c r="AB32" s="588"/>
      <c r="AC32" s="588"/>
      <c r="AD32" s="588"/>
      <c r="AE32" s="589"/>
      <c r="AF32" s="708"/>
      <c r="AG32" s="708"/>
    </row>
    <row r="33" spans="1:33" ht="18" customHeight="1">
      <c r="A33" s="587"/>
      <c r="B33" s="588"/>
      <c r="C33" s="588"/>
      <c r="D33" s="588"/>
      <c r="E33" s="588"/>
      <c r="F33" s="588"/>
      <c r="G33" s="588"/>
      <c r="H33" s="587"/>
      <c r="I33" s="588"/>
      <c r="J33" s="588"/>
      <c r="K33" s="588"/>
      <c r="L33" s="588"/>
      <c r="M33" s="589"/>
      <c r="N33" s="588"/>
      <c r="O33" s="588"/>
      <c r="P33" s="587"/>
      <c r="Q33" s="589"/>
      <c r="R33" s="588"/>
      <c r="S33" s="588"/>
      <c r="T33" s="588"/>
      <c r="U33" s="588"/>
      <c r="V33" s="589"/>
      <c r="W33" s="630"/>
      <c r="X33" s="705"/>
      <c r="Y33" s="706"/>
      <c r="Z33" s="631"/>
      <c r="AA33" s="587"/>
      <c r="AB33" s="588"/>
      <c r="AC33" s="588"/>
      <c r="AD33" s="588"/>
      <c r="AE33" s="589"/>
      <c r="AF33" s="708"/>
      <c r="AG33" s="708"/>
    </row>
    <row r="34" spans="1:33" ht="18" customHeight="1">
      <c r="A34" s="587"/>
      <c r="B34" s="588"/>
      <c r="C34" s="588"/>
      <c r="D34" s="588"/>
      <c r="E34" s="588"/>
      <c r="F34" s="588"/>
      <c r="G34" s="588"/>
      <c r="H34" s="587"/>
      <c r="I34" s="588"/>
      <c r="J34" s="588"/>
      <c r="K34" s="588"/>
      <c r="L34" s="588"/>
      <c r="M34" s="589"/>
      <c r="N34" s="588"/>
      <c r="O34" s="588"/>
      <c r="P34" s="587"/>
      <c r="Q34" s="589"/>
      <c r="R34" s="588"/>
      <c r="S34" s="588"/>
      <c r="T34" s="588"/>
      <c r="U34" s="588"/>
      <c r="V34" s="589"/>
      <c r="W34" s="630"/>
      <c r="X34" s="705"/>
      <c r="Y34" s="706"/>
      <c r="Z34" s="631"/>
      <c r="AA34" s="587"/>
      <c r="AB34" s="588"/>
      <c r="AC34" s="588"/>
      <c r="AD34" s="588"/>
      <c r="AE34" s="589"/>
      <c r="AF34" s="708"/>
      <c r="AG34" s="708"/>
    </row>
    <row r="35" spans="1:33" ht="18" customHeight="1">
      <c r="A35" s="587"/>
      <c r="B35" s="588"/>
      <c r="C35" s="588"/>
      <c r="D35" s="588"/>
      <c r="E35" s="588"/>
      <c r="F35" s="588"/>
      <c r="G35" s="588"/>
      <c r="H35" s="587"/>
      <c r="I35" s="588"/>
      <c r="J35" s="588"/>
      <c r="K35" s="588"/>
      <c r="L35" s="588"/>
      <c r="M35" s="589"/>
      <c r="N35" s="588"/>
      <c r="O35" s="588"/>
      <c r="P35" s="587"/>
      <c r="Q35" s="589"/>
      <c r="R35" s="588"/>
      <c r="S35" s="588"/>
      <c r="T35" s="588"/>
      <c r="U35" s="588"/>
      <c r="V35" s="589"/>
      <c r="W35" s="630"/>
      <c r="X35" s="705"/>
      <c r="Y35" s="706"/>
      <c r="Z35" s="631"/>
      <c r="AA35" s="587"/>
      <c r="AB35" s="588"/>
      <c r="AC35" s="588"/>
      <c r="AD35" s="588"/>
      <c r="AE35" s="589"/>
      <c r="AF35" s="708"/>
      <c r="AG35" s="708"/>
    </row>
    <row r="36" spans="1:33" ht="18" customHeight="1">
      <c r="A36" s="587"/>
      <c r="B36" s="588"/>
      <c r="C36" s="588"/>
      <c r="D36" s="588"/>
      <c r="E36" s="588"/>
      <c r="F36" s="588"/>
      <c r="G36" s="588"/>
      <c r="H36" s="587"/>
      <c r="I36" s="588"/>
      <c r="J36" s="588"/>
      <c r="K36" s="588"/>
      <c r="L36" s="588"/>
      <c r="M36" s="589"/>
      <c r="N36" s="588"/>
      <c r="O36" s="588"/>
      <c r="P36" s="587"/>
      <c r="Q36" s="589"/>
      <c r="R36" s="588"/>
      <c r="S36" s="588"/>
      <c r="T36" s="588"/>
      <c r="U36" s="588"/>
      <c r="V36" s="589"/>
      <c r="W36" s="630"/>
      <c r="X36" s="705"/>
      <c r="Y36" s="706"/>
      <c r="Z36" s="631"/>
      <c r="AA36" s="587"/>
      <c r="AB36" s="588"/>
      <c r="AC36" s="588"/>
      <c r="AD36" s="588"/>
      <c r="AE36" s="589"/>
      <c r="AF36" s="708"/>
      <c r="AG36" s="708"/>
    </row>
    <row r="37" spans="1:33" ht="18" customHeight="1">
      <c r="A37" s="587"/>
      <c r="B37" s="588"/>
      <c r="C37" s="588"/>
      <c r="D37" s="588"/>
      <c r="E37" s="588"/>
      <c r="F37" s="588"/>
      <c r="G37" s="588"/>
      <c r="H37" s="587"/>
      <c r="I37" s="588"/>
      <c r="J37" s="588"/>
      <c r="K37" s="588"/>
      <c r="L37" s="588"/>
      <c r="M37" s="589"/>
      <c r="N37" s="588"/>
      <c r="O37" s="588"/>
      <c r="P37" s="587"/>
      <c r="Q37" s="589"/>
      <c r="R37" s="588"/>
      <c r="S37" s="588"/>
      <c r="T37" s="588"/>
      <c r="U37" s="588"/>
      <c r="V37" s="589"/>
      <c r="W37" s="630"/>
      <c r="X37" s="705"/>
      <c r="Y37" s="706"/>
      <c r="Z37" s="631"/>
      <c r="AA37" s="587"/>
      <c r="AB37" s="588"/>
      <c r="AC37" s="588"/>
      <c r="AD37" s="588"/>
      <c r="AE37" s="589"/>
      <c r="AF37" s="708"/>
      <c r="AG37" s="708"/>
    </row>
    <row r="38" spans="1:33" ht="18" customHeight="1">
      <c r="A38" s="587"/>
      <c r="B38" s="588"/>
      <c r="C38" s="588"/>
      <c r="D38" s="588"/>
      <c r="E38" s="588"/>
      <c r="F38" s="588"/>
      <c r="G38" s="588"/>
      <c r="H38" s="587"/>
      <c r="I38" s="588"/>
      <c r="J38" s="588"/>
      <c r="K38" s="588"/>
      <c r="L38" s="588"/>
      <c r="M38" s="589"/>
      <c r="N38" s="588"/>
      <c r="O38" s="588"/>
      <c r="P38" s="587"/>
      <c r="Q38" s="589"/>
      <c r="R38" s="588"/>
      <c r="S38" s="588"/>
      <c r="T38" s="588"/>
      <c r="U38" s="588"/>
      <c r="V38" s="589"/>
      <c r="W38" s="630"/>
      <c r="X38" s="705"/>
      <c r="Y38" s="706"/>
      <c r="Z38" s="631"/>
      <c r="AA38" s="587"/>
      <c r="AB38" s="588"/>
      <c r="AC38" s="588"/>
      <c r="AD38" s="588"/>
      <c r="AE38" s="589"/>
      <c r="AF38" s="708"/>
      <c r="AG38" s="708"/>
    </row>
    <row r="39" spans="1:33" ht="18" customHeight="1">
      <c r="A39" s="587"/>
      <c r="B39" s="588"/>
      <c r="C39" s="588"/>
      <c r="D39" s="588"/>
      <c r="E39" s="588"/>
      <c r="F39" s="588"/>
      <c r="G39" s="589"/>
      <c r="H39" s="587"/>
      <c r="I39" s="588"/>
      <c r="J39" s="588"/>
      <c r="K39" s="588"/>
      <c r="L39" s="588"/>
      <c r="M39" s="589"/>
      <c r="N39" s="587"/>
      <c r="O39" s="589"/>
      <c r="P39" s="587"/>
      <c r="Q39" s="589"/>
      <c r="R39" s="587"/>
      <c r="S39" s="588"/>
      <c r="T39" s="588"/>
      <c r="U39" s="588"/>
      <c r="V39" s="589"/>
      <c r="W39" s="630"/>
      <c r="X39" s="705"/>
      <c r="Y39" s="706"/>
      <c r="Z39" s="632"/>
      <c r="AA39" s="587"/>
      <c r="AB39" s="588"/>
      <c r="AC39" s="588"/>
      <c r="AD39" s="588"/>
      <c r="AE39" s="589"/>
      <c r="AF39" s="707"/>
      <c r="AG39" s="708"/>
    </row>
    <row r="40" spans="1:33" ht="18" customHeight="1">
      <c r="A40" s="587"/>
      <c r="B40" s="588"/>
      <c r="C40" s="588"/>
      <c r="D40" s="588"/>
      <c r="E40" s="588"/>
      <c r="F40" s="588"/>
      <c r="G40" s="589"/>
      <c r="H40" s="587"/>
      <c r="I40" s="588"/>
      <c r="J40" s="588"/>
      <c r="K40" s="588"/>
      <c r="L40" s="588"/>
      <c r="M40" s="589"/>
      <c r="N40" s="587"/>
      <c r="O40" s="589"/>
      <c r="P40" s="587"/>
      <c r="Q40" s="589"/>
      <c r="R40" s="587"/>
      <c r="S40" s="588"/>
      <c r="T40" s="588"/>
      <c r="U40" s="588"/>
      <c r="V40" s="589"/>
      <c r="W40" s="630"/>
      <c r="X40" s="705"/>
      <c r="Y40" s="706"/>
      <c r="Z40" s="632"/>
      <c r="AA40" s="587"/>
      <c r="AB40" s="588"/>
      <c r="AC40" s="588"/>
      <c r="AD40" s="588"/>
      <c r="AE40" s="589"/>
      <c r="AF40" s="707"/>
      <c r="AG40" s="708"/>
    </row>
    <row r="41" spans="1:33" ht="18" customHeight="1">
      <c r="A41" s="587"/>
      <c r="B41" s="588"/>
      <c r="C41" s="588"/>
      <c r="D41" s="588"/>
      <c r="E41" s="588"/>
      <c r="F41" s="588"/>
      <c r="G41" s="589"/>
      <c r="H41" s="587"/>
      <c r="I41" s="588"/>
      <c r="J41" s="588"/>
      <c r="K41" s="588"/>
      <c r="L41" s="588"/>
      <c r="M41" s="589"/>
      <c r="N41" s="587"/>
      <c r="O41" s="589"/>
      <c r="P41" s="587"/>
      <c r="Q41" s="589"/>
      <c r="R41" s="587"/>
      <c r="S41" s="588"/>
      <c r="T41" s="588"/>
      <c r="U41" s="588"/>
      <c r="V41" s="589"/>
      <c r="W41" s="630"/>
      <c r="X41" s="705"/>
      <c r="Y41" s="706"/>
      <c r="Z41" s="632"/>
      <c r="AA41" s="587"/>
      <c r="AB41" s="588"/>
      <c r="AC41" s="588"/>
      <c r="AD41" s="588"/>
      <c r="AE41" s="589"/>
      <c r="AF41" s="707"/>
      <c r="AG41" s="708"/>
    </row>
    <row r="42" spans="1:33" ht="18" customHeight="1">
      <c r="A42" s="587"/>
      <c r="B42" s="588"/>
      <c r="C42" s="588"/>
      <c r="D42" s="588"/>
      <c r="E42" s="588"/>
      <c r="F42" s="588"/>
      <c r="G42" s="589"/>
      <c r="H42" s="587"/>
      <c r="I42" s="588"/>
      <c r="J42" s="588"/>
      <c r="K42" s="588"/>
      <c r="L42" s="588"/>
      <c r="M42" s="589"/>
      <c r="N42" s="587"/>
      <c r="O42" s="589"/>
      <c r="P42" s="587"/>
      <c r="Q42" s="589"/>
      <c r="R42" s="587"/>
      <c r="S42" s="588"/>
      <c r="T42" s="588"/>
      <c r="U42" s="588"/>
      <c r="V42" s="589"/>
      <c r="W42" s="630"/>
      <c r="X42" s="705"/>
      <c r="Y42" s="706"/>
      <c r="Z42" s="632"/>
      <c r="AA42" s="587"/>
      <c r="AB42" s="588"/>
      <c r="AC42" s="588"/>
      <c r="AD42" s="588"/>
      <c r="AE42" s="589"/>
      <c r="AF42" s="84"/>
      <c r="AG42" s="85"/>
    </row>
    <row r="43" spans="1:33" ht="18" customHeight="1">
      <c r="A43" s="587"/>
      <c r="B43" s="588"/>
      <c r="C43" s="588"/>
      <c r="D43" s="588"/>
      <c r="E43" s="588"/>
      <c r="F43" s="588"/>
      <c r="G43" s="588"/>
      <c r="H43" s="587"/>
      <c r="I43" s="588"/>
      <c r="J43" s="588"/>
      <c r="K43" s="588"/>
      <c r="L43" s="588"/>
      <c r="M43" s="589"/>
      <c r="N43" s="588"/>
      <c r="O43" s="588"/>
      <c r="P43" s="587"/>
      <c r="Q43" s="589"/>
      <c r="R43" s="588"/>
      <c r="S43" s="588"/>
      <c r="T43" s="588"/>
      <c r="U43" s="588"/>
      <c r="V43" s="589"/>
      <c r="W43" s="630"/>
      <c r="X43" s="705"/>
      <c r="Y43" s="706"/>
      <c r="Z43" s="631"/>
      <c r="AA43" s="587"/>
      <c r="AB43" s="588"/>
      <c r="AC43" s="588"/>
      <c r="AD43" s="588"/>
      <c r="AE43" s="589"/>
      <c r="AF43" s="708"/>
      <c r="AG43" s="708"/>
    </row>
    <row r="44" spans="1:33" ht="18" customHeight="1">
      <c r="A44" s="587"/>
      <c r="B44" s="588"/>
      <c r="C44" s="588"/>
      <c r="D44" s="588"/>
      <c r="E44" s="588"/>
      <c r="F44" s="588"/>
      <c r="G44" s="589"/>
      <c r="H44" s="587"/>
      <c r="I44" s="588"/>
      <c r="J44" s="588"/>
      <c r="K44" s="588"/>
      <c r="L44" s="588"/>
      <c r="M44" s="589"/>
      <c r="N44" s="587"/>
      <c r="O44" s="589"/>
      <c r="P44" s="587"/>
      <c r="Q44" s="589"/>
      <c r="R44" s="587"/>
      <c r="S44" s="588"/>
      <c r="T44" s="588"/>
      <c r="U44" s="588"/>
      <c r="V44" s="589"/>
      <c r="W44" s="630"/>
      <c r="X44" s="705"/>
      <c r="Y44" s="706"/>
      <c r="Z44" s="632"/>
      <c r="AA44" s="587"/>
      <c r="AB44" s="588"/>
      <c r="AC44" s="588"/>
      <c r="AD44" s="588"/>
      <c r="AE44" s="589"/>
      <c r="AF44" s="707"/>
      <c r="AG44" s="708"/>
    </row>
    <row r="45" spans="1:33" ht="18" customHeight="1">
      <c r="A45" s="587"/>
      <c r="B45" s="588"/>
      <c r="C45" s="588"/>
      <c r="D45" s="588"/>
      <c r="E45" s="588"/>
      <c r="F45" s="588"/>
      <c r="G45" s="589"/>
      <c r="H45" s="587"/>
      <c r="I45" s="588"/>
      <c r="J45" s="588"/>
      <c r="K45" s="588"/>
      <c r="L45" s="588"/>
      <c r="M45" s="589"/>
      <c r="N45" s="587"/>
      <c r="O45" s="589"/>
      <c r="P45" s="587"/>
      <c r="Q45" s="589"/>
      <c r="R45" s="587"/>
      <c r="S45" s="588"/>
      <c r="T45" s="588"/>
      <c r="U45" s="588"/>
      <c r="V45" s="589"/>
      <c r="W45" s="630"/>
      <c r="X45" s="705"/>
      <c r="Y45" s="706"/>
      <c r="Z45" s="632"/>
      <c r="AA45" s="587"/>
      <c r="AB45" s="588"/>
      <c r="AC45" s="588"/>
      <c r="AD45" s="588"/>
      <c r="AE45" s="589"/>
      <c r="AF45" s="707"/>
      <c r="AG45" s="708"/>
    </row>
    <row r="46" spans="1:33" ht="18" customHeight="1">
      <c r="A46" s="587"/>
      <c r="B46" s="588"/>
      <c r="C46" s="588"/>
      <c r="D46" s="588"/>
      <c r="E46" s="588"/>
      <c r="F46" s="588"/>
      <c r="G46" s="589"/>
      <c r="H46" s="587"/>
      <c r="I46" s="588"/>
      <c r="J46" s="588"/>
      <c r="K46" s="588"/>
      <c r="L46" s="588"/>
      <c r="M46" s="589"/>
      <c r="N46" s="587"/>
      <c r="O46" s="589"/>
      <c r="P46" s="587"/>
      <c r="Q46" s="589"/>
      <c r="R46" s="587"/>
      <c r="S46" s="588"/>
      <c r="T46" s="588"/>
      <c r="U46" s="588"/>
      <c r="V46" s="589"/>
      <c r="W46" s="630"/>
      <c r="X46" s="705"/>
      <c r="Y46" s="706"/>
      <c r="Z46" s="632"/>
      <c r="AA46" s="587"/>
      <c r="AB46" s="588"/>
      <c r="AC46" s="588"/>
      <c r="AD46" s="588"/>
      <c r="AE46" s="589"/>
      <c r="AF46" s="707"/>
      <c r="AG46" s="708"/>
    </row>
    <row r="47" spans="1:33" ht="18" customHeight="1">
      <c r="A47" s="587"/>
      <c r="B47" s="588"/>
      <c r="C47" s="588"/>
      <c r="D47" s="588"/>
      <c r="E47" s="588"/>
      <c r="F47" s="588"/>
      <c r="G47" s="589"/>
      <c r="H47" s="587"/>
      <c r="I47" s="588"/>
      <c r="J47" s="588"/>
      <c r="K47" s="588"/>
      <c r="L47" s="588"/>
      <c r="M47" s="589"/>
      <c r="N47" s="587"/>
      <c r="O47" s="589"/>
      <c r="P47" s="587"/>
      <c r="Q47" s="589"/>
      <c r="R47" s="587"/>
      <c r="S47" s="588"/>
      <c r="T47" s="588"/>
      <c r="U47" s="588"/>
      <c r="V47" s="589"/>
      <c r="W47" s="630"/>
      <c r="X47" s="705"/>
      <c r="Y47" s="706"/>
      <c r="Z47" s="632"/>
      <c r="AA47" s="587"/>
      <c r="AB47" s="588"/>
      <c r="AC47" s="588"/>
      <c r="AD47" s="588"/>
      <c r="AE47" s="589"/>
      <c r="AF47" s="707"/>
      <c r="AG47" s="708"/>
    </row>
    <row r="48" spans="1:33" ht="18" customHeight="1">
      <c r="A48" s="587"/>
      <c r="B48" s="588"/>
      <c r="C48" s="588"/>
      <c r="D48" s="588"/>
      <c r="E48" s="588"/>
      <c r="F48" s="588"/>
      <c r="G48" s="589"/>
      <c r="H48" s="587"/>
      <c r="I48" s="588"/>
      <c r="J48" s="588"/>
      <c r="K48" s="588"/>
      <c r="L48" s="588"/>
      <c r="M48" s="589"/>
      <c r="N48" s="587"/>
      <c r="O48" s="589"/>
      <c r="P48" s="587"/>
      <c r="Q48" s="589"/>
      <c r="R48" s="587"/>
      <c r="S48" s="588"/>
      <c r="T48" s="588"/>
      <c r="U48" s="588"/>
      <c r="V48" s="589"/>
      <c r="W48" s="630"/>
      <c r="X48" s="705"/>
      <c r="Y48" s="706"/>
      <c r="Z48" s="632"/>
      <c r="AA48" s="587"/>
      <c r="AB48" s="588"/>
      <c r="AC48" s="588"/>
      <c r="AD48" s="588"/>
      <c r="AE48" s="589"/>
      <c r="AF48" s="707"/>
      <c r="AG48" s="708"/>
    </row>
    <row r="49" spans="1:33" ht="18" customHeight="1">
      <c r="A49" s="587"/>
      <c r="B49" s="588"/>
      <c r="C49" s="588"/>
      <c r="D49" s="588"/>
      <c r="E49" s="588"/>
      <c r="F49" s="588"/>
      <c r="G49" s="589"/>
      <c r="H49" s="587"/>
      <c r="I49" s="588"/>
      <c r="J49" s="588"/>
      <c r="K49" s="588"/>
      <c r="L49" s="588"/>
      <c r="M49" s="589"/>
      <c r="N49" s="587"/>
      <c r="O49" s="589"/>
      <c r="P49" s="587"/>
      <c r="Q49" s="589"/>
      <c r="R49" s="587"/>
      <c r="S49" s="588"/>
      <c r="T49" s="588"/>
      <c r="U49" s="588"/>
      <c r="V49" s="589"/>
      <c r="W49" s="630"/>
      <c r="X49" s="705"/>
      <c r="Y49" s="706"/>
      <c r="Z49" s="632"/>
      <c r="AA49" s="587"/>
      <c r="AB49" s="588"/>
      <c r="AC49" s="588"/>
      <c r="AD49" s="588"/>
      <c r="AE49" s="589"/>
      <c r="AF49" s="707"/>
      <c r="AG49" s="708"/>
    </row>
    <row r="50" spans="1:33" ht="18" customHeight="1">
      <c r="A50" s="587"/>
      <c r="B50" s="588"/>
      <c r="C50" s="588"/>
      <c r="D50" s="588"/>
      <c r="E50" s="588"/>
      <c r="F50" s="588"/>
      <c r="G50" s="589"/>
      <c r="H50" s="587"/>
      <c r="I50" s="588"/>
      <c r="J50" s="588"/>
      <c r="K50" s="588"/>
      <c r="L50" s="588"/>
      <c r="M50" s="589"/>
      <c r="N50" s="587"/>
      <c r="O50" s="589"/>
      <c r="P50" s="587"/>
      <c r="Q50" s="589"/>
      <c r="R50" s="587"/>
      <c r="S50" s="588"/>
      <c r="T50" s="588"/>
      <c r="U50" s="588"/>
      <c r="V50" s="589"/>
      <c r="W50" s="630"/>
      <c r="X50" s="705"/>
      <c r="Y50" s="706"/>
      <c r="Z50" s="632"/>
      <c r="AA50" s="587"/>
      <c r="AB50" s="588"/>
      <c r="AC50" s="588"/>
      <c r="AD50" s="588"/>
      <c r="AE50" s="589"/>
      <c r="AF50" s="707"/>
      <c r="AG50" s="708"/>
    </row>
    <row r="51" spans="1:33" ht="18" customHeight="1">
      <c r="A51" s="587"/>
      <c r="B51" s="588"/>
      <c r="C51" s="588"/>
      <c r="D51" s="588"/>
      <c r="E51" s="588"/>
      <c r="F51" s="588"/>
      <c r="G51" s="589"/>
      <c r="H51" s="587"/>
      <c r="I51" s="588"/>
      <c r="J51" s="588"/>
      <c r="K51" s="588"/>
      <c r="L51" s="588"/>
      <c r="M51" s="589"/>
      <c r="N51" s="587"/>
      <c r="O51" s="589"/>
      <c r="P51" s="587"/>
      <c r="Q51" s="589"/>
      <c r="R51" s="587"/>
      <c r="S51" s="588"/>
      <c r="T51" s="588"/>
      <c r="U51" s="588"/>
      <c r="V51" s="589"/>
      <c r="W51" s="630"/>
      <c r="X51" s="705"/>
      <c r="Y51" s="706"/>
      <c r="Z51" s="632"/>
      <c r="AA51" s="587"/>
      <c r="AB51" s="588"/>
      <c r="AC51" s="588"/>
      <c r="AD51" s="588"/>
      <c r="AE51" s="589"/>
      <c r="AF51" s="707"/>
      <c r="AG51" s="708"/>
    </row>
    <row r="52" spans="1:33" ht="18" customHeight="1">
      <c r="A52" s="587"/>
      <c r="B52" s="588"/>
      <c r="C52" s="588"/>
      <c r="D52" s="588"/>
      <c r="E52" s="588"/>
      <c r="F52" s="588"/>
      <c r="G52" s="589"/>
      <c r="H52" s="587"/>
      <c r="I52" s="588"/>
      <c r="J52" s="588"/>
      <c r="K52" s="588"/>
      <c r="L52" s="588"/>
      <c r="M52" s="589"/>
      <c r="N52" s="587"/>
      <c r="O52" s="589"/>
      <c r="P52" s="587"/>
      <c r="Q52" s="589"/>
      <c r="R52" s="587"/>
      <c r="S52" s="588"/>
      <c r="T52" s="588"/>
      <c r="U52" s="588"/>
      <c r="V52" s="589"/>
      <c r="W52" s="630"/>
      <c r="X52" s="705"/>
      <c r="Y52" s="706"/>
      <c r="Z52" s="632"/>
      <c r="AA52" s="587"/>
      <c r="AB52" s="588"/>
      <c r="AC52" s="588"/>
      <c r="AD52" s="588"/>
      <c r="AE52" s="589"/>
      <c r="AF52" s="707"/>
      <c r="AG52" s="708"/>
    </row>
    <row r="53" spans="1:33" ht="18" customHeight="1">
      <c r="A53" s="587"/>
      <c r="B53" s="588"/>
      <c r="C53" s="588"/>
      <c r="D53" s="588"/>
      <c r="E53" s="588"/>
      <c r="F53" s="588"/>
      <c r="G53" s="589"/>
      <c r="H53" s="587"/>
      <c r="I53" s="588"/>
      <c r="J53" s="588"/>
      <c r="K53" s="588"/>
      <c r="L53" s="588"/>
      <c r="M53" s="589"/>
      <c r="N53" s="587"/>
      <c r="O53" s="589"/>
      <c r="P53" s="587"/>
      <c r="Q53" s="589"/>
      <c r="R53" s="587"/>
      <c r="S53" s="588"/>
      <c r="T53" s="588"/>
      <c r="U53" s="588"/>
      <c r="V53" s="589"/>
      <c r="W53" s="630"/>
      <c r="X53" s="705"/>
      <c r="Y53" s="706"/>
      <c r="Z53" s="632"/>
      <c r="AA53" s="587"/>
      <c r="AB53" s="588"/>
      <c r="AC53" s="588"/>
      <c r="AD53" s="588"/>
      <c r="AE53" s="589"/>
      <c r="AF53" s="84"/>
      <c r="AG53" s="85"/>
    </row>
    <row r="54" spans="1:33" ht="18" customHeight="1">
      <c r="A54" s="587"/>
      <c r="B54" s="588"/>
      <c r="C54" s="588"/>
      <c r="D54" s="588"/>
      <c r="E54" s="588"/>
      <c r="F54" s="588"/>
      <c r="G54" s="588"/>
      <c r="H54" s="587"/>
      <c r="I54" s="588"/>
      <c r="J54" s="588"/>
      <c r="K54" s="588"/>
      <c r="L54" s="588"/>
      <c r="M54" s="589"/>
      <c r="N54" s="588"/>
      <c r="O54" s="588"/>
      <c r="P54" s="587"/>
      <c r="Q54" s="589"/>
      <c r="R54" s="588"/>
      <c r="S54" s="588"/>
      <c r="T54" s="588"/>
      <c r="U54" s="588"/>
      <c r="V54" s="589"/>
      <c r="W54" s="630"/>
      <c r="X54" s="705"/>
      <c r="Y54" s="706"/>
      <c r="Z54" s="631"/>
      <c r="AA54" s="587"/>
      <c r="AB54" s="588"/>
      <c r="AC54" s="588"/>
      <c r="AD54" s="588"/>
      <c r="AE54" s="589"/>
      <c r="AF54" s="708"/>
      <c r="AG54" s="708"/>
    </row>
    <row r="55" spans="1:33" ht="18" customHeight="1" thickBot="1">
      <c r="A55" s="674"/>
      <c r="B55" s="675"/>
      <c r="C55" s="675"/>
      <c r="D55" s="675"/>
      <c r="E55" s="675"/>
      <c r="F55" s="675"/>
      <c r="G55" s="675"/>
      <c r="H55" s="674"/>
      <c r="I55" s="675"/>
      <c r="J55" s="675"/>
      <c r="K55" s="675"/>
      <c r="L55" s="675"/>
      <c r="M55" s="676"/>
      <c r="N55" s="675"/>
      <c r="O55" s="675"/>
      <c r="P55" s="674"/>
      <c r="Q55" s="676"/>
      <c r="R55" s="675"/>
      <c r="S55" s="675"/>
      <c r="T55" s="675"/>
      <c r="U55" s="675"/>
      <c r="V55" s="676"/>
      <c r="W55" s="709"/>
      <c r="X55" s="710"/>
      <c r="Y55" s="711"/>
      <c r="Z55" s="710"/>
      <c r="AA55" s="674"/>
      <c r="AB55" s="675"/>
      <c r="AC55" s="675"/>
      <c r="AD55" s="675"/>
      <c r="AE55" s="676"/>
      <c r="AF55" s="708"/>
      <c r="AG55" s="708"/>
    </row>
    <row r="56" spans="1:33" ht="7.5" customHeight="1" thickBo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row>
    <row r="57" spans="1:33">
      <c r="A57" s="45"/>
      <c r="B57" s="45"/>
      <c r="C57" s="45"/>
      <c r="D57" s="45"/>
      <c r="E57" s="45"/>
      <c r="F57" s="45"/>
      <c r="G57" s="45"/>
      <c r="H57" s="45"/>
      <c r="I57" s="45"/>
      <c r="J57" s="45"/>
      <c r="K57" s="45"/>
      <c r="L57" s="603" t="str">
        <f>VLOOKUP("signature",Translations!$A:$T,MATCH(PSW!AO7,Translations!A1:P1,0),0)</f>
        <v>SIGNATURE</v>
      </c>
      <c r="M57" s="604"/>
      <c r="N57" s="604"/>
      <c r="O57" s="604"/>
      <c r="P57" s="604"/>
      <c r="Q57" s="604"/>
      <c r="R57" s="604"/>
      <c r="S57" s="604"/>
      <c r="T57" s="733"/>
      <c r="U57" s="734" t="str">
        <f>VLOOKUP("title1",Translations!$A:$T,MATCH(PSW!AO7,Translations!A1:P1,0),0)</f>
        <v>TITLE</v>
      </c>
      <c r="V57" s="604"/>
      <c r="W57" s="604"/>
      <c r="X57" s="604"/>
      <c r="Y57" s="604"/>
      <c r="Z57" s="604"/>
      <c r="AA57" s="733"/>
      <c r="AB57" s="734" t="str">
        <f>VLOOKUP("date1",Translations!$A:$T,MATCH(PSW!AO7,Translations!A1:P1,0),0)</f>
        <v>DATE</v>
      </c>
      <c r="AC57" s="604"/>
      <c r="AD57" s="604"/>
      <c r="AE57" s="735"/>
    </row>
    <row r="58" spans="1:33" ht="18.75" customHeight="1">
      <c r="A58" s="45"/>
      <c r="B58" s="45"/>
      <c r="C58" s="45"/>
      <c r="D58" s="45"/>
      <c r="E58" s="45"/>
      <c r="F58" s="45"/>
      <c r="G58" s="45"/>
      <c r="H58" s="45"/>
      <c r="I58" s="45"/>
      <c r="J58" s="45"/>
      <c r="K58" s="45"/>
      <c r="L58" s="736"/>
      <c r="M58" s="737"/>
      <c r="N58" s="737"/>
      <c r="O58" s="737"/>
      <c r="P58" s="737"/>
      <c r="Q58" s="737"/>
      <c r="R58" s="737"/>
      <c r="S58" s="737"/>
      <c r="T58" s="738"/>
      <c r="U58" s="742"/>
      <c r="V58" s="737"/>
      <c r="W58" s="737"/>
      <c r="X58" s="737"/>
      <c r="Y58" s="737"/>
      <c r="Z58" s="737"/>
      <c r="AA58" s="738"/>
      <c r="AB58" s="506"/>
      <c r="AC58" s="501"/>
      <c r="AD58" s="501"/>
      <c r="AE58" s="508"/>
    </row>
    <row r="59" spans="1:33" ht="24" customHeight="1" thickBot="1">
      <c r="A59" s="45"/>
      <c r="B59" s="45"/>
      <c r="C59" s="45"/>
      <c r="D59" s="45"/>
      <c r="E59" s="45"/>
      <c r="F59" s="45"/>
      <c r="G59" s="45"/>
      <c r="H59" s="45"/>
      <c r="I59" s="45"/>
      <c r="J59" s="45"/>
      <c r="K59" s="45"/>
      <c r="L59" s="739"/>
      <c r="M59" s="740"/>
      <c r="N59" s="740"/>
      <c r="O59" s="740"/>
      <c r="P59" s="740"/>
      <c r="Q59" s="740"/>
      <c r="R59" s="740"/>
      <c r="S59" s="740"/>
      <c r="T59" s="741"/>
      <c r="U59" s="743"/>
      <c r="V59" s="740"/>
      <c r="W59" s="740"/>
      <c r="X59" s="740"/>
      <c r="Y59" s="740"/>
      <c r="Z59" s="740"/>
      <c r="AA59" s="741"/>
      <c r="AB59" s="507"/>
      <c r="AC59" s="504"/>
      <c r="AD59" s="504"/>
      <c r="AE59" s="509"/>
    </row>
  </sheetData>
  <sheetProtection algorithmName="SHA-512" hashValue="0qz110j9Tpo537/hKkCZi+ImYLSop8kBH/tLwlDYvjGsTTLvatmEo6vFCdW0IUDPq+E/IV/NMHHEYm9aBwilmA==" saltValue="l+q6icrKyIeq2TJL7v1aeg==" spinCount="100000" sheet="1" scenarios="1" formatCells="0" formatColumns="0" formatRows="0" insertColumns="0" insertRows="0" deleteColumns="0" deleteRows="0" selectLockedCells="1"/>
  <mergeCells count="420">
    <mergeCell ref="L57:T57"/>
    <mergeCell ref="U57:AA57"/>
    <mergeCell ref="AB57:AE57"/>
    <mergeCell ref="L58:T59"/>
    <mergeCell ref="U58:AA59"/>
    <mergeCell ref="AB58:AE59"/>
    <mergeCell ref="R9:AE9"/>
    <mergeCell ref="R51:V51"/>
    <mergeCell ref="R52:V52"/>
    <mergeCell ref="R55:V55"/>
    <mergeCell ref="N55:O55"/>
    <mergeCell ref="P55:Q55"/>
    <mergeCell ref="R49:V49"/>
    <mergeCell ref="P49:Q49"/>
    <mergeCell ref="R48:V48"/>
    <mergeCell ref="P48:Q48"/>
    <mergeCell ref="R47:V47"/>
    <mergeCell ref="P47:Q47"/>
    <mergeCell ref="R46:V46"/>
    <mergeCell ref="P46:Q46"/>
    <mergeCell ref="P51:Q51"/>
    <mergeCell ref="R50:V50"/>
    <mergeCell ref="R29:V29"/>
    <mergeCell ref="R30:V30"/>
    <mergeCell ref="W44:X44"/>
    <mergeCell ref="R44:V44"/>
    <mergeCell ref="P44:Q44"/>
    <mergeCell ref="N44:O44"/>
    <mergeCell ref="H44:M44"/>
    <mergeCell ref="AF40:AG40"/>
    <mergeCell ref="AA40:AE40"/>
    <mergeCell ref="Y40:Z40"/>
    <mergeCell ref="W40:X40"/>
    <mergeCell ref="P40:Q40"/>
    <mergeCell ref="H40:M40"/>
    <mergeCell ref="P41:Q41"/>
    <mergeCell ref="N41:O41"/>
    <mergeCell ref="W42:X42"/>
    <mergeCell ref="Y42:Z42"/>
    <mergeCell ref="R41:V41"/>
    <mergeCell ref="R43:V43"/>
    <mergeCell ref="P42:Q42"/>
    <mergeCell ref="R42:V42"/>
    <mergeCell ref="P21:Q21"/>
    <mergeCell ref="P22:Q22"/>
    <mergeCell ref="P23:Q23"/>
    <mergeCell ref="P24:Q24"/>
    <mergeCell ref="P25:Q25"/>
    <mergeCell ref="P26:Q26"/>
    <mergeCell ref="P27:Q27"/>
    <mergeCell ref="P28:Q28"/>
    <mergeCell ref="P29:Q29"/>
    <mergeCell ref="N25:O25"/>
    <mergeCell ref="N26:O26"/>
    <mergeCell ref="N27:O27"/>
    <mergeCell ref="N28:O28"/>
    <mergeCell ref="N29:O29"/>
    <mergeCell ref="N30:O30"/>
    <mergeCell ref="P43:Q43"/>
    <mergeCell ref="P30:Q30"/>
    <mergeCell ref="P31:Q31"/>
    <mergeCell ref="P38:Q38"/>
    <mergeCell ref="P32:Q32"/>
    <mergeCell ref="P33:Q33"/>
    <mergeCell ref="P34:Q34"/>
    <mergeCell ref="P35:Q35"/>
    <mergeCell ref="P36:Q36"/>
    <mergeCell ref="P37:Q37"/>
    <mergeCell ref="P39:Q39"/>
    <mergeCell ref="N39:O39"/>
    <mergeCell ref="N40:O40"/>
    <mergeCell ref="N31:O31"/>
    <mergeCell ref="N32:O32"/>
    <mergeCell ref="N48:O48"/>
    <mergeCell ref="N49:O49"/>
    <mergeCell ref="N42:O42"/>
    <mergeCell ref="N43:O43"/>
    <mergeCell ref="N33:O33"/>
    <mergeCell ref="N34:O34"/>
    <mergeCell ref="N35:O35"/>
    <mergeCell ref="N36:O36"/>
    <mergeCell ref="N37:O37"/>
    <mergeCell ref="N38:O38"/>
    <mergeCell ref="N45:O45"/>
    <mergeCell ref="N21:O21"/>
    <mergeCell ref="N22:O22"/>
    <mergeCell ref="N23:O23"/>
    <mergeCell ref="H47:M47"/>
    <mergeCell ref="H33:M33"/>
    <mergeCell ref="H34:M34"/>
    <mergeCell ref="H35:M35"/>
    <mergeCell ref="H36:M36"/>
    <mergeCell ref="H37:M37"/>
    <mergeCell ref="H38:M38"/>
    <mergeCell ref="H24:M24"/>
    <mergeCell ref="H25:M25"/>
    <mergeCell ref="H26:M26"/>
    <mergeCell ref="H27:M27"/>
    <mergeCell ref="H28:M28"/>
    <mergeCell ref="H29:M29"/>
    <mergeCell ref="H30:M30"/>
    <mergeCell ref="H31:M31"/>
    <mergeCell ref="H32:M32"/>
    <mergeCell ref="H21:M21"/>
    <mergeCell ref="H22:M22"/>
    <mergeCell ref="N46:O46"/>
    <mergeCell ref="N47:O47"/>
    <mergeCell ref="N24:O24"/>
    <mergeCell ref="H23:M23"/>
    <mergeCell ref="A48:G48"/>
    <mergeCell ref="A49:G49"/>
    <mergeCell ref="A50:G50"/>
    <mergeCell ref="A33:G33"/>
    <mergeCell ref="A34:G34"/>
    <mergeCell ref="A35:G35"/>
    <mergeCell ref="A36:G36"/>
    <mergeCell ref="A37:G37"/>
    <mergeCell ref="A38:G38"/>
    <mergeCell ref="A24:G24"/>
    <mergeCell ref="A25:G25"/>
    <mergeCell ref="A26:G26"/>
    <mergeCell ref="A27:G27"/>
    <mergeCell ref="A28:G28"/>
    <mergeCell ref="A29:G29"/>
    <mergeCell ref="A30:G30"/>
    <mergeCell ref="A31:G31"/>
    <mergeCell ref="A32:G32"/>
    <mergeCell ref="H48:M48"/>
    <mergeCell ref="A40:G40"/>
    <mergeCell ref="H39:M39"/>
    <mergeCell ref="A39:G39"/>
    <mergeCell ref="H45:M45"/>
    <mergeCell ref="A51:G51"/>
    <mergeCell ref="A52:G52"/>
    <mergeCell ref="A53:G53"/>
    <mergeCell ref="A54:G54"/>
    <mergeCell ref="A55:G55"/>
    <mergeCell ref="H55:M55"/>
    <mergeCell ref="A41:G41"/>
    <mergeCell ref="A42:G42"/>
    <mergeCell ref="A43:G43"/>
    <mergeCell ref="H49:M49"/>
    <mergeCell ref="H50:M50"/>
    <mergeCell ref="H51:M51"/>
    <mergeCell ref="H52:M52"/>
    <mergeCell ref="H53:M53"/>
    <mergeCell ref="H54:M54"/>
    <mergeCell ref="H41:M41"/>
    <mergeCell ref="H42:M42"/>
    <mergeCell ref="H43:M43"/>
    <mergeCell ref="A44:G44"/>
    <mergeCell ref="A45:G45"/>
    <mergeCell ref="A19:G19"/>
    <mergeCell ref="A20:G20"/>
    <mergeCell ref="A21:G21"/>
    <mergeCell ref="A22:G22"/>
    <mergeCell ref="A23:G23"/>
    <mergeCell ref="AA48:AE48"/>
    <mergeCell ref="AA49:AE49"/>
    <mergeCell ref="AA50:AE50"/>
    <mergeCell ref="AA24:AE24"/>
    <mergeCell ref="AA25:AE25"/>
    <mergeCell ref="AA26:AE26"/>
    <mergeCell ref="AA27:AE27"/>
    <mergeCell ref="AA28:AE28"/>
    <mergeCell ref="AA29:AE29"/>
    <mergeCell ref="AA30:AE30"/>
    <mergeCell ref="AA31:AE31"/>
    <mergeCell ref="AA32:AE32"/>
    <mergeCell ref="AA19:AE19"/>
    <mergeCell ref="AA20:AE20"/>
    <mergeCell ref="AA21:AE21"/>
    <mergeCell ref="AA22:AE22"/>
    <mergeCell ref="AA23:AE23"/>
    <mergeCell ref="H19:M19"/>
    <mergeCell ref="H20:M20"/>
    <mergeCell ref="AA55:AE55"/>
    <mergeCell ref="AA41:AE41"/>
    <mergeCell ref="AA42:AE42"/>
    <mergeCell ref="AA43:AE43"/>
    <mergeCell ref="AA33:AE33"/>
    <mergeCell ref="AA34:AE34"/>
    <mergeCell ref="AA35:AE35"/>
    <mergeCell ref="AA36:AE36"/>
    <mergeCell ref="AA37:AE37"/>
    <mergeCell ref="AA38:AE38"/>
    <mergeCell ref="AA39:AE39"/>
    <mergeCell ref="AA54:AE54"/>
    <mergeCell ref="AA45:AE45"/>
    <mergeCell ref="AA44:AE44"/>
    <mergeCell ref="R34:V34"/>
    <mergeCell ref="R35:V35"/>
    <mergeCell ref="R36:V36"/>
    <mergeCell ref="R37:V37"/>
    <mergeCell ref="R18:V18"/>
    <mergeCell ref="R19:V19"/>
    <mergeCell ref="R20:V20"/>
    <mergeCell ref="R21:V21"/>
    <mergeCell ref="R22:V22"/>
    <mergeCell ref="R23:V23"/>
    <mergeCell ref="R24:V24"/>
    <mergeCell ref="H13:M13"/>
    <mergeCell ref="N13:O13"/>
    <mergeCell ref="P13:Q13"/>
    <mergeCell ref="AA13:AE13"/>
    <mergeCell ref="W13:X13"/>
    <mergeCell ref="Y13:Z13"/>
    <mergeCell ref="W48:X48"/>
    <mergeCell ref="Y48:Z48"/>
    <mergeCell ref="A14:G14"/>
    <mergeCell ref="A15:G15"/>
    <mergeCell ref="A16:G16"/>
    <mergeCell ref="A17:G17"/>
    <mergeCell ref="H14:M14"/>
    <mergeCell ref="H15:M15"/>
    <mergeCell ref="A46:G46"/>
    <mergeCell ref="A47:G47"/>
    <mergeCell ref="H46:M46"/>
    <mergeCell ref="W16:X16"/>
    <mergeCell ref="Y16:Z16"/>
    <mergeCell ref="AA16:AE16"/>
    <mergeCell ref="AA46:AE46"/>
    <mergeCell ref="AA47:AE47"/>
    <mergeCell ref="R25:V25"/>
    <mergeCell ref="R26:V26"/>
    <mergeCell ref="A18:G18"/>
    <mergeCell ref="A11:G12"/>
    <mergeCell ref="H11:M12"/>
    <mergeCell ref="N11:O12"/>
    <mergeCell ref="P11:Q12"/>
    <mergeCell ref="A8:Q10"/>
    <mergeCell ref="E4:Q4"/>
    <mergeCell ref="V4:AE4"/>
    <mergeCell ref="W5:AE5"/>
    <mergeCell ref="H5:Q5"/>
    <mergeCell ref="H6:Q6"/>
    <mergeCell ref="A4:D4"/>
    <mergeCell ref="A5:G5"/>
    <mergeCell ref="A6:G6"/>
    <mergeCell ref="A7:M7"/>
    <mergeCell ref="R4:U4"/>
    <mergeCell ref="R5:V5"/>
    <mergeCell ref="R6:AE6"/>
    <mergeCell ref="R8:AE8"/>
    <mergeCell ref="R10:V10"/>
    <mergeCell ref="W11:Z11"/>
    <mergeCell ref="R11:V12"/>
    <mergeCell ref="AA11:AE12"/>
    <mergeCell ref="A13:G13"/>
    <mergeCell ref="AF13:AG13"/>
    <mergeCell ref="R7:AE7"/>
    <mergeCell ref="W10:AE10"/>
    <mergeCell ref="N7:Q7"/>
    <mergeCell ref="W14:X14"/>
    <mergeCell ref="Y14:Z14"/>
    <mergeCell ref="W15:X15"/>
    <mergeCell ref="Y15:Z15"/>
    <mergeCell ref="AA14:AE14"/>
    <mergeCell ref="AA15:AE15"/>
    <mergeCell ref="N14:O14"/>
    <mergeCell ref="N15:O15"/>
    <mergeCell ref="W12:X12"/>
    <mergeCell ref="Y12:Z12"/>
    <mergeCell ref="R13:V13"/>
    <mergeCell ref="AF14:AG14"/>
    <mergeCell ref="AF15:AG15"/>
    <mergeCell ref="P14:Q14"/>
    <mergeCell ref="P15:Q15"/>
    <mergeCell ref="R14:V14"/>
    <mergeCell ref="R15:V15"/>
    <mergeCell ref="AF16:AG16"/>
    <mergeCell ref="AF17:AG17"/>
    <mergeCell ref="W17:X17"/>
    <mergeCell ref="Y17:Z17"/>
    <mergeCell ref="AA17:AE17"/>
    <mergeCell ref="H16:M16"/>
    <mergeCell ref="H17:M17"/>
    <mergeCell ref="N16:O16"/>
    <mergeCell ref="N17:O17"/>
    <mergeCell ref="P16:Q16"/>
    <mergeCell ref="P17:Q17"/>
    <mergeCell ref="R16:V16"/>
    <mergeCell ref="R17:V17"/>
    <mergeCell ref="AF18:AG18"/>
    <mergeCell ref="W18:X18"/>
    <mergeCell ref="Y18:Z18"/>
    <mergeCell ref="H18:M18"/>
    <mergeCell ref="P18:Q18"/>
    <mergeCell ref="AF19:AG19"/>
    <mergeCell ref="AF20:AG20"/>
    <mergeCell ref="W19:X19"/>
    <mergeCell ref="Y19:Z19"/>
    <mergeCell ref="W20:X20"/>
    <mergeCell ref="Y20:Z20"/>
    <mergeCell ref="P19:Q19"/>
    <mergeCell ref="P20:Q20"/>
    <mergeCell ref="N18:O18"/>
    <mergeCell ref="N19:O19"/>
    <mergeCell ref="N20:O20"/>
    <mergeCell ref="AA18:AE18"/>
    <mergeCell ref="AF21:AG21"/>
    <mergeCell ref="AF22:AG22"/>
    <mergeCell ref="W21:X21"/>
    <mergeCell ref="Y21:Z21"/>
    <mergeCell ref="W22:X22"/>
    <mergeCell ref="Y22:Z22"/>
    <mergeCell ref="AF23:AG23"/>
    <mergeCell ref="AF24:AG24"/>
    <mergeCell ref="W23:X23"/>
    <mergeCell ref="Y23:Z23"/>
    <mergeCell ref="W24:X24"/>
    <mergeCell ref="Y24:Z24"/>
    <mergeCell ref="AF25:AG25"/>
    <mergeCell ref="AF26:AG26"/>
    <mergeCell ref="W25:X25"/>
    <mergeCell ref="Y25:Z25"/>
    <mergeCell ref="W26:X26"/>
    <mergeCell ref="Y26:Z26"/>
    <mergeCell ref="AF27:AG27"/>
    <mergeCell ref="AF28:AG28"/>
    <mergeCell ref="W27:X27"/>
    <mergeCell ref="Y27:Z27"/>
    <mergeCell ref="W28:X28"/>
    <mergeCell ref="Y28:Z28"/>
    <mergeCell ref="AF29:AG29"/>
    <mergeCell ref="AF30:AG30"/>
    <mergeCell ref="W29:X29"/>
    <mergeCell ref="Y29:Z29"/>
    <mergeCell ref="W30:X30"/>
    <mergeCell ref="Y30:Z30"/>
    <mergeCell ref="AF31:AG31"/>
    <mergeCell ref="AF32:AG32"/>
    <mergeCell ref="W31:X31"/>
    <mergeCell ref="Y31:Z31"/>
    <mergeCell ref="W32:X32"/>
    <mergeCell ref="Y32:Z32"/>
    <mergeCell ref="AF33:AG33"/>
    <mergeCell ref="AF34:AG34"/>
    <mergeCell ref="W33:X33"/>
    <mergeCell ref="Y33:Z33"/>
    <mergeCell ref="W34:X34"/>
    <mergeCell ref="Y34:Z34"/>
    <mergeCell ref="AF35:AG35"/>
    <mergeCell ref="AF36:AG36"/>
    <mergeCell ref="W35:X35"/>
    <mergeCell ref="Y35:Z35"/>
    <mergeCell ref="W36:X36"/>
    <mergeCell ref="Y36:Z36"/>
    <mergeCell ref="W55:X55"/>
    <mergeCell ref="Y55:Z55"/>
    <mergeCell ref="AF54:AG54"/>
    <mergeCell ref="AF55:AG55"/>
    <mergeCell ref="AF51:AG51"/>
    <mergeCell ref="AF52:AG52"/>
    <mergeCell ref="AF41:AG41"/>
    <mergeCell ref="W41:X41"/>
    <mergeCell ref="Y41:Z41"/>
    <mergeCell ref="AF43:AG43"/>
    <mergeCell ref="W43:X43"/>
    <mergeCell ref="Y43:Z43"/>
    <mergeCell ref="AF46:AG46"/>
    <mergeCell ref="AF47:AG47"/>
    <mergeCell ref="W46:X46"/>
    <mergeCell ref="Y46:Z46"/>
    <mergeCell ref="W47:X47"/>
    <mergeCell ref="Y47:Z47"/>
    <mergeCell ref="W49:X49"/>
    <mergeCell ref="Y49:Z49"/>
    <mergeCell ref="W50:X50"/>
    <mergeCell ref="AA51:AE51"/>
    <mergeCell ref="AA52:AE52"/>
    <mergeCell ref="AA53:AE53"/>
    <mergeCell ref="AF48:AG48"/>
    <mergeCell ref="AF49:AG49"/>
    <mergeCell ref="AF50:AG50"/>
    <mergeCell ref="Y50:Z50"/>
    <mergeCell ref="P50:Q50"/>
    <mergeCell ref="P52:Q52"/>
    <mergeCell ref="AF37:AG37"/>
    <mergeCell ref="AF38:AG38"/>
    <mergeCell ref="W37:X37"/>
    <mergeCell ref="Y37:Z37"/>
    <mergeCell ref="W38:X38"/>
    <mergeCell ref="Y38:Z38"/>
    <mergeCell ref="AF39:AG39"/>
    <mergeCell ref="W39:X39"/>
    <mergeCell ref="R39:V39"/>
    <mergeCell ref="Y39:Z39"/>
    <mergeCell ref="R40:V40"/>
    <mergeCell ref="AF45:AG45"/>
    <mergeCell ref="Y45:Z45"/>
    <mergeCell ref="W45:X45"/>
    <mergeCell ref="R45:V45"/>
    <mergeCell ref="P45:Q45"/>
    <mergeCell ref="AF44:AG44"/>
    <mergeCell ref="Y44:Z44"/>
    <mergeCell ref="Q1:AC3"/>
    <mergeCell ref="N50:O50"/>
    <mergeCell ref="N51:O51"/>
    <mergeCell ref="N52:O52"/>
    <mergeCell ref="N53:O53"/>
    <mergeCell ref="P53:Q53"/>
    <mergeCell ref="N54:O54"/>
    <mergeCell ref="P54:Q54"/>
    <mergeCell ref="W53:X53"/>
    <mergeCell ref="Y53:Z53"/>
    <mergeCell ref="W54:X54"/>
    <mergeCell ref="Y54:Z54"/>
    <mergeCell ref="R53:V53"/>
    <mergeCell ref="R54:V54"/>
    <mergeCell ref="W51:X51"/>
    <mergeCell ref="Y51:Z51"/>
    <mergeCell ref="W52:X52"/>
    <mergeCell ref="Y52:Z52"/>
    <mergeCell ref="R27:V27"/>
    <mergeCell ref="R28:V28"/>
    <mergeCell ref="R38:V38"/>
    <mergeCell ref="R31:V31"/>
    <mergeCell ref="R32:V32"/>
    <mergeCell ref="R33:V33"/>
  </mergeCells>
  <printOptions horizontalCentered="1"/>
  <pageMargins left="0.6692913385826772" right="0.55118110236220474" top="0.9055118110236221" bottom="0.6692913385826772" header="0.31496062992125984" footer="0.31496062992125984"/>
  <pageSetup paperSize="9" scale="73" orientation="portrait" r:id="rId1"/>
  <headerFooter>
    <oddHeader>&amp;R&amp;G</oddHeader>
    <oddFooter>&amp;LMHG-PU-F-0018&amp;CPPAP Template ; Rev.: 01/2019&amp;RJ.-U. Liedtke / PU-SD-GA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AE61"/>
  <sheetViews>
    <sheetView showGridLines="0" zoomScaleNormal="100" workbookViewId="0">
      <selection activeCell="R7" sqref="R7:AE7"/>
    </sheetView>
  </sheetViews>
  <sheetFormatPr baseColWidth="10" defaultColWidth="9.140625" defaultRowHeight="12.75"/>
  <cols>
    <col min="1" max="1" width="5.28515625" customWidth="1"/>
    <col min="2" max="6" width="3.42578125" customWidth="1"/>
    <col min="7" max="7" width="6.28515625" customWidth="1"/>
    <col min="8" max="13" width="3.42578125" customWidth="1"/>
    <col min="14" max="14" width="3.85546875" customWidth="1"/>
    <col min="15" max="15" width="3.7109375" customWidth="1"/>
    <col min="16" max="16" width="7" customWidth="1"/>
    <col min="17" max="17" width="4.7109375" customWidth="1"/>
    <col min="18" max="18" width="5.85546875" customWidth="1"/>
    <col min="19" max="24" width="3.42578125" customWidth="1"/>
    <col min="25" max="26" width="3.5703125" customWidth="1"/>
    <col min="27" max="27" width="3.7109375" customWidth="1"/>
    <col min="28" max="28" width="3.85546875" customWidth="1"/>
    <col min="29" max="29" width="3.42578125" customWidth="1"/>
    <col min="30" max="30" width="7.140625" customWidth="1"/>
    <col min="31" max="31" width="8.28515625" customWidth="1"/>
  </cols>
  <sheetData>
    <row r="1" spans="1:31" ht="12.75" customHeight="1">
      <c r="A1" s="46"/>
      <c r="B1" s="46"/>
      <c r="C1" s="46"/>
      <c r="D1" s="46"/>
      <c r="E1" s="46"/>
      <c r="F1" s="46"/>
      <c r="G1" s="46"/>
      <c r="H1" s="46"/>
      <c r="I1" s="46"/>
      <c r="J1" s="46"/>
      <c r="K1" s="46"/>
      <c r="L1" s="46"/>
      <c r="M1" s="46"/>
      <c r="N1" s="46"/>
      <c r="O1" s="46"/>
      <c r="P1" s="559" t="str">
        <f>VLOOKUP("ppaperformancetestresult",Translations!$A:$T,MATCH(PSW!AO7,Translations!A1:P1,0),0)</f>
        <v xml:space="preserve">Production Part Approval 
Performance Test Results </v>
      </c>
      <c r="Q1" s="559"/>
      <c r="R1" s="559"/>
      <c r="S1" s="559"/>
      <c r="T1" s="559"/>
      <c r="U1" s="559"/>
      <c r="V1" s="559"/>
      <c r="W1" s="559"/>
      <c r="X1" s="559"/>
      <c r="Y1" s="559"/>
      <c r="Z1" s="559"/>
      <c r="AA1" s="559"/>
      <c r="AB1" s="559"/>
      <c r="AC1" s="559"/>
      <c r="AD1" s="559"/>
      <c r="AE1" s="112"/>
    </row>
    <row r="2" spans="1:31" ht="12.75" customHeight="1">
      <c r="A2" s="46"/>
      <c r="B2" s="46"/>
      <c r="C2" s="46"/>
      <c r="D2" s="46"/>
      <c r="E2" s="46"/>
      <c r="F2" s="46"/>
      <c r="G2" s="46"/>
      <c r="H2" s="46"/>
      <c r="I2" s="46"/>
      <c r="J2" s="46"/>
      <c r="K2" s="46"/>
      <c r="L2" s="46"/>
      <c r="M2" s="46"/>
      <c r="N2" s="46"/>
      <c r="O2" s="46"/>
      <c r="P2" s="559"/>
      <c r="Q2" s="559"/>
      <c r="R2" s="559"/>
      <c r="S2" s="559"/>
      <c r="T2" s="559"/>
      <c r="U2" s="559"/>
      <c r="V2" s="559"/>
      <c r="W2" s="559"/>
      <c r="X2" s="559"/>
      <c r="Y2" s="559"/>
      <c r="Z2" s="559"/>
      <c r="AA2" s="559"/>
      <c r="AB2" s="559"/>
      <c r="AC2" s="559"/>
      <c r="AD2" s="559"/>
      <c r="AE2" s="112"/>
    </row>
    <row r="3" spans="1:31" ht="13.5" customHeight="1" thickBot="1">
      <c r="A3" s="47"/>
      <c r="B3" s="47"/>
      <c r="C3" s="47"/>
      <c r="D3" s="47"/>
      <c r="E3" s="47"/>
      <c r="F3" s="47"/>
      <c r="G3" s="47"/>
      <c r="H3" s="47"/>
      <c r="I3" s="47"/>
      <c r="J3" s="47"/>
      <c r="K3" s="47"/>
      <c r="L3" s="47"/>
      <c r="M3" s="47"/>
      <c r="N3" s="47"/>
      <c r="O3" s="47"/>
      <c r="P3" s="560"/>
      <c r="Q3" s="560"/>
      <c r="R3" s="560"/>
      <c r="S3" s="560"/>
      <c r="T3" s="560"/>
      <c r="U3" s="560"/>
      <c r="V3" s="560"/>
      <c r="W3" s="560"/>
      <c r="X3" s="560"/>
      <c r="Y3" s="560"/>
      <c r="Z3" s="560"/>
      <c r="AA3" s="560"/>
      <c r="AB3" s="560"/>
      <c r="AC3" s="560"/>
      <c r="AD3" s="560"/>
      <c r="AE3" s="113"/>
    </row>
    <row r="4" spans="1:31" ht="13.5" customHeight="1">
      <c r="A4" s="495" t="str">
        <f>'MAT Test'!A4</f>
        <v>ORGANIZATION:</v>
      </c>
      <c r="B4" s="496"/>
      <c r="C4" s="496"/>
      <c r="D4" s="496"/>
      <c r="E4" s="744" t="str">
        <f>'DIM Test'!E4</f>
        <v>?</v>
      </c>
      <c r="F4" s="744"/>
      <c r="G4" s="744"/>
      <c r="H4" s="744"/>
      <c r="I4" s="744"/>
      <c r="J4" s="744"/>
      <c r="K4" s="744"/>
      <c r="L4" s="744"/>
      <c r="M4" s="744"/>
      <c r="N4" s="744"/>
      <c r="O4" s="744"/>
      <c r="P4" s="744"/>
      <c r="Q4" s="745"/>
      <c r="R4" s="495" t="str">
        <f>'MAT Test'!R4</f>
        <v>PART NUMBER:</v>
      </c>
      <c r="S4" s="496"/>
      <c r="T4" s="496"/>
      <c r="U4" s="496"/>
      <c r="V4" s="744" t="str">
        <f>'DIM Test'!X4</f>
        <v>?</v>
      </c>
      <c r="W4" s="744"/>
      <c r="X4" s="744"/>
      <c r="Y4" s="744"/>
      <c r="Z4" s="744"/>
      <c r="AA4" s="744"/>
      <c r="AB4" s="744"/>
      <c r="AC4" s="744"/>
      <c r="AD4" s="744"/>
      <c r="AE4" s="745"/>
    </row>
    <row r="5" spans="1:31" ht="13.5" thickBot="1">
      <c r="A5" s="748" t="str">
        <f>'MAT Test'!A5</f>
        <v>SUPPLIER / VENDOR CODE:</v>
      </c>
      <c r="B5" s="749"/>
      <c r="C5" s="749"/>
      <c r="D5" s="749"/>
      <c r="E5" s="749"/>
      <c r="F5" s="749"/>
      <c r="G5" s="749"/>
      <c r="H5" s="746" t="str">
        <f>'DIM Test'!I5</f>
        <v>?</v>
      </c>
      <c r="I5" s="746"/>
      <c r="J5" s="746"/>
      <c r="K5" s="746"/>
      <c r="L5" s="746"/>
      <c r="M5" s="746"/>
      <c r="N5" s="746"/>
      <c r="O5" s="746"/>
      <c r="P5" s="746"/>
      <c r="Q5" s="747"/>
      <c r="R5" s="534" t="str">
        <f>'MAT Test'!R5</f>
        <v>PART NAME:</v>
      </c>
      <c r="S5" s="535"/>
      <c r="T5" s="535"/>
      <c r="U5" s="535"/>
      <c r="V5" s="535"/>
      <c r="W5" s="751" t="str">
        <f>'DIM Test'!Y5</f>
        <v>?</v>
      </c>
      <c r="X5" s="751"/>
      <c r="Y5" s="751"/>
      <c r="Z5" s="751"/>
      <c r="AA5" s="751"/>
      <c r="AB5" s="751"/>
      <c r="AC5" s="751"/>
      <c r="AD5" s="751"/>
      <c r="AE5" s="752"/>
    </row>
    <row r="6" spans="1:31" ht="13.5" customHeight="1">
      <c r="A6" s="495" t="str">
        <f>'MAT Test'!R10</f>
        <v>NAME OF LABORATORY:</v>
      </c>
      <c r="B6" s="496"/>
      <c r="C6" s="496"/>
      <c r="D6" s="496"/>
      <c r="E6" s="496"/>
      <c r="F6" s="496"/>
      <c r="G6" s="496"/>
      <c r="H6" s="744"/>
      <c r="I6" s="744"/>
      <c r="J6" s="744"/>
      <c r="K6" s="744"/>
      <c r="L6" s="744"/>
      <c r="M6" s="744"/>
      <c r="N6" s="744"/>
      <c r="O6" s="744"/>
      <c r="P6" s="744"/>
      <c r="Q6" s="745"/>
      <c r="R6" s="534" t="str">
        <f>'MAT Test'!R6</f>
        <v>DESIGN RECORD CHANGE LEVEL:</v>
      </c>
      <c r="S6" s="535"/>
      <c r="T6" s="535"/>
      <c r="U6" s="535"/>
      <c r="V6" s="535"/>
      <c r="W6" s="535"/>
      <c r="X6" s="535"/>
      <c r="Y6" s="535"/>
      <c r="Z6" s="535"/>
      <c r="AA6" s="535"/>
      <c r="AB6" s="535"/>
      <c r="AC6" s="535"/>
      <c r="AD6" s="535"/>
      <c r="AE6" s="564"/>
    </row>
    <row r="7" spans="1:31" ht="13.5" customHeight="1">
      <c r="A7" s="750" t="str">
        <f>'MAT Test'!A7</f>
        <v>* CUSTOMER SPECIFIED SUPPLIER / VENDOR CODE:</v>
      </c>
      <c r="B7" s="456"/>
      <c r="C7" s="456"/>
      <c r="D7" s="456"/>
      <c r="E7" s="456"/>
      <c r="F7" s="456"/>
      <c r="G7" s="456"/>
      <c r="H7" s="456"/>
      <c r="I7" s="456"/>
      <c r="J7" s="456"/>
      <c r="K7" s="456"/>
      <c r="L7" s="456"/>
      <c r="M7" s="456"/>
      <c r="N7" s="751"/>
      <c r="O7" s="751"/>
      <c r="P7" s="751"/>
      <c r="Q7" s="752"/>
      <c r="R7" s="565" t="str">
        <f>'DIM Test'!S7</f>
        <v>?</v>
      </c>
      <c r="S7" s="599"/>
      <c r="T7" s="599"/>
      <c r="U7" s="599"/>
      <c r="V7" s="599"/>
      <c r="W7" s="599"/>
      <c r="X7" s="599"/>
      <c r="Y7" s="599"/>
      <c r="Z7" s="599"/>
      <c r="AA7" s="599"/>
      <c r="AB7" s="599"/>
      <c r="AC7" s="599"/>
      <c r="AD7" s="599"/>
      <c r="AE7" s="600"/>
    </row>
    <row r="8" spans="1:31" ht="13.5" customHeight="1">
      <c r="A8" s="754" t="str">
        <f>'MAT Test'!A8</f>
        <v>* If source approval is required, include the Supplier (Source) &amp; Customer assigned code</v>
      </c>
      <c r="B8" s="755"/>
      <c r="C8" s="755"/>
      <c r="D8" s="755"/>
      <c r="E8" s="755"/>
      <c r="F8" s="755"/>
      <c r="G8" s="755"/>
      <c r="H8" s="755"/>
      <c r="I8" s="755"/>
      <c r="J8" s="755"/>
      <c r="K8" s="755"/>
      <c r="L8" s="755"/>
      <c r="M8" s="755"/>
      <c r="N8" s="755"/>
      <c r="O8" s="755"/>
      <c r="P8" s="755"/>
      <c r="Q8" s="756"/>
      <c r="R8" s="534" t="str">
        <f>'MAT Test'!R8</f>
        <v>ENGINEERING CHANGE DOCUMENTS:</v>
      </c>
      <c r="S8" s="535"/>
      <c r="T8" s="535"/>
      <c r="U8" s="535"/>
      <c r="V8" s="535"/>
      <c r="W8" s="535"/>
      <c r="X8" s="535"/>
      <c r="Y8" s="535"/>
      <c r="Z8" s="535"/>
      <c r="AA8" s="535"/>
      <c r="AB8" s="535"/>
      <c r="AC8" s="535"/>
      <c r="AD8" s="535"/>
      <c r="AE8" s="564"/>
    </row>
    <row r="9" spans="1:31" ht="13.5" thickBot="1">
      <c r="A9" s="757"/>
      <c r="B9" s="758"/>
      <c r="C9" s="758"/>
      <c r="D9" s="758"/>
      <c r="E9" s="758"/>
      <c r="F9" s="758"/>
      <c r="G9" s="758"/>
      <c r="H9" s="758"/>
      <c r="I9" s="758"/>
      <c r="J9" s="758"/>
      <c r="K9" s="758"/>
      <c r="L9" s="758"/>
      <c r="M9" s="758"/>
      <c r="N9" s="758"/>
      <c r="O9" s="758"/>
      <c r="P9" s="758"/>
      <c r="Q9" s="759"/>
      <c r="R9" s="565" t="str">
        <f>'DIM Test'!S9</f>
        <v>?</v>
      </c>
      <c r="S9" s="599"/>
      <c r="T9" s="599"/>
      <c r="U9" s="599"/>
      <c r="V9" s="599"/>
      <c r="W9" s="599"/>
      <c r="X9" s="599"/>
      <c r="Y9" s="599"/>
      <c r="Z9" s="599"/>
      <c r="AA9" s="599"/>
      <c r="AB9" s="599"/>
      <c r="AC9" s="599"/>
      <c r="AD9" s="599"/>
      <c r="AE9" s="600"/>
    </row>
    <row r="10" spans="1:31" ht="26.25" customHeight="1">
      <c r="A10" s="774" t="str">
        <f>VLOOKUP("testspecificationrevdate",Translations!$A:$T,MATCH(PSW!AO7,Translations!A1:P1,0),0)</f>
        <v>TEST SPECIFICATION / REV / DATE</v>
      </c>
      <c r="B10" s="775"/>
      <c r="C10" s="775"/>
      <c r="D10" s="775"/>
      <c r="E10" s="775"/>
      <c r="F10" s="775"/>
      <c r="G10" s="775"/>
      <c r="H10" s="778" t="str">
        <f>VLOOKUP("specificattionlimits",Translations!$A:$T,MATCH(PSW!AO7,Translations!A1:P1,0),0)</f>
        <v>SPECIFICATION / LIMITS</v>
      </c>
      <c r="I10" s="778"/>
      <c r="J10" s="778"/>
      <c r="K10" s="778"/>
      <c r="L10" s="778"/>
      <c r="M10" s="778" t="str">
        <f>VLOOKUP("testdate",Translations!$A:$T,MATCH(PSW!AO7,Translations!A1:P1,0),0)</f>
        <v>TEST DATE</v>
      </c>
      <c r="N10" s="778"/>
      <c r="O10" s="778" t="str">
        <f>VLOOKUP("qtytested",Translations!$A:$T,MATCH(PSW!AO7,Translations!A1:P1,0),0)</f>
        <v>QTY. TESTED</v>
      </c>
      <c r="P10" s="778"/>
      <c r="Q10" s="778" t="str">
        <f>VLOOKUP("suppliertestresultdatatestconditions",Translations!$A:$T,MATCH(PSW!AO7,Translations!A1:P1,0),0)</f>
        <v>SUPPLIER TEST RESULTS (DATA) / TEST CONDITIONS</v>
      </c>
      <c r="R10" s="778"/>
      <c r="S10" s="778"/>
      <c r="T10" s="778"/>
      <c r="U10" s="778"/>
      <c r="V10" s="778"/>
      <c r="W10" s="778"/>
      <c r="X10" s="778"/>
      <c r="Y10" s="775" t="str">
        <f>VLOOKUP("specificationfulfilled",Translations!$A:$T,MATCH(PSW!AO7,Translations!A1:P1,0),0)</f>
        <v>SPECIFICATION FULFILLED</v>
      </c>
      <c r="Z10" s="775"/>
      <c r="AA10" s="775"/>
      <c r="AB10" s="775"/>
      <c r="AC10" s="782" t="str">
        <f>VLOOKUP("comment",Translations!$A:$T,MATCH(PSW!AO7,Translations!A1:P1,0),0)</f>
        <v>COMMENT</v>
      </c>
      <c r="AD10" s="783"/>
      <c r="AE10" s="784"/>
    </row>
    <row r="11" spans="1:31" ht="25.5" customHeight="1" thickBot="1">
      <c r="A11" s="776"/>
      <c r="B11" s="777"/>
      <c r="C11" s="777"/>
      <c r="D11" s="777"/>
      <c r="E11" s="777"/>
      <c r="F11" s="777"/>
      <c r="G11" s="777"/>
      <c r="H11" s="779"/>
      <c r="I11" s="779"/>
      <c r="J11" s="779"/>
      <c r="K11" s="779"/>
      <c r="L11" s="779"/>
      <c r="M11" s="779"/>
      <c r="N11" s="779"/>
      <c r="O11" s="779"/>
      <c r="P11" s="779"/>
      <c r="Q11" s="779"/>
      <c r="R11" s="779"/>
      <c r="S11" s="779"/>
      <c r="T11" s="779"/>
      <c r="U11" s="779"/>
      <c r="V11" s="779"/>
      <c r="W11" s="779"/>
      <c r="X11" s="779"/>
      <c r="Y11" s="780" t="str">
        <f>VLOOKUP("ok",Translations!$A:$T,MATCH(PSW!AO7,Translations!A1:P1,0),0)</f>
        <v>OK</v>
      </c>
      <c r="Z11" s="781"/>
      <c r="AA11" s="780" t="str">
        <f>VLOOKUP("notok",Translations!$A:$T,MATCH(PSW!AO7,Translations!A1:P1,0),0)</f>
        <v>NOT OK</v>
      </c>
      <c r="AB11" s="780"/>
      <c r="AC11" s="785"/>
      <c r="AD11" s="786"/>
      <c r="AE11" s="787"/>
    </row>
    <row r="12" spans="1:31" ht="18" customHeight="1">
      <c r="A12" s="730"/>
      <c r="B12" s="732"/>
      <c r="C12" s="732"/>
      <c r="D12" s="732"/>
      <c r="E12" s="732"/>
      <c r="F12" s="732"/>
      <c r="G12" s="732"/>
      <c r="H12" s="760"/>
      <c r="I12" s="760"/>
      <c r="J12" s="760"/>
      <c r="K12" s="760"/>
      <c r="L12" s="760"/>
      <c r="M12" s="760"/>
      <c r="N12" s="760"/>
      <c r="O12" s="760"/>
      <c r="P12" s="760"/>
      <c r="Q12" s="760"/>
      <c r="R12" s="760"/>
      <c r="S12" s="760"/>
      <c r="T12" s="760"/>
      <c r="U12" s="760"/>
      <c r="V12" s="760"/>
      <c r="W12" s="760"/>
      <c r="X12" s="760"/>
      <c r="Y12" s="732"/>
      <c r="Z12" s="731"/>
      <c r="AA12" s="767"/>
      <c r="AB12" s="732"/>
      <c r="AC12" s="764"/>
      <c r="AD12" s="765"/>
      <c r="AE12" s="766"/>
    </row>
    <row r="13" spans="1:31" ht="18" customHeight="1">
      <c r="A13" s="630"/>
      <c r="B13" s="631"/>
      <c r="C13" s="631"/>
      <c r="D13" s="631"/>
      <c r="E13" s="631"/>
      <c r="F13" s="631"/>
      <c r="G13" s="631"/>
      <c r="H13" s="753"/>
      <c r="I13" s="753"/>
      <c r="J13" s="753"/>
      <c r="K13" s="753"/>
      <c r="L13" s="753"/>
      <c r="M13" s="753"/>
      <c r="N13" s="753"/>
      <c r="O13" s="753"/>
      <c r="P13" s="753"/>
      <c r="Q13" s="753"/>
      <c r="R13" s="753"/>
      <c r="S13" s="753"/>
      <c r="T13" s="753"/>
      <c r="U13" s="753"/>
      <c r="V13" s="753"/>
      <c r="W13" s="753"/>
      <c r="X13" s="753"/>
      <c r="Y13" s="631"/>
      <c r="Z13" s="705"/>
      <c r="AA13" s="706"/>
      <c r="AB13" s="631"/>
      <c r="AC13" s="761"/>
      <c r="AD13" s="762"/>
      <c r="AE13" s="763"/>
    </row>
    <row r="14" spans="1:31" ht="18" customHeight="1">
      <c r="A14" s="630"/>
      <c r="B14" s="631"/>
      <c r="C14" s="631"/>
      <c r="D14" s="631"/>
      <c r="E14" s="631"/>
      <c r="F14" s="631"/>
      <c r="G14" s="631"/>
      <c r="H14" s="753"/>
      <c r="I14" s="753"/>
      <c r="J14" s="753"/>
      <c r="K14" s="753"/>
      <c r="L14" s="753"/>
      <c r="M14" s="753"/>
      <c r="N14" s="753"/>
      <c r="O14" s="753"/>
      <c r="P14" s="753"/>
      <c r="Q14" s="753"/>
      <c r="R14" s="753"/>
      <c r="S14" s="753"/>
      <c r="T14" s="753"/>
      <c r="U14" s="753"/>
      <c r="V14" s="753"/>
      <c r="W14" s="753"/>
      <c r="X14" s="753"/>
      <c r="Y14" s="631"/>
      <c r="Z14" s="705"/>
      <c r="AA14" s="706"/>
      <c r="AB14" s="631"/>
      <c r="AC14" s="761"/>
      <c r="AD14" s="762"/>
      <c r="AE14" s="763"/>
    </row>
    <row r="15" spans="1:31" ht="18" customHeight="1">
      <c r="A15" s="630"/>
      <c r="B15" s="631"/>
      <c r="C15" s="631"/>
      <c r="D15" s="631"/>
      <c r="E15" s="631"/>
      <c r="F15" s="631"/>
      <c r="G15" s="631"/>
      <c r="H15" s="753"/>
      <c r="I15" s="753"/>
      <c r="J15" s="753"/>
      <c r="K15" s="753"/>
      <c r="L15" s="753"/>
      <c r="M15" s="753"/>
      <c r="N15" s="753"/>
      <c r="O15" s="753"/>
      <c r="P15" s="753"/>
      <c r="Q15" s="753"/>
      <c r="R15" s="753"/>
      <c r="S15" s="753"/>
      <c r="T15" s="753"/>
      <c r="U15" s="753"/>
      <c r="V15" s="753"/>
      <c r="W15" s="753"/>
      <c r="X15" s="753"/>
      <c r="Y15" s="631"/>
      <c r="Z15" s="705"/>
      <c r="AA15" s="706"/>
      <c r="AB15" s="631"/>
      <c r="AC15" s="761"/>
      <c r="AD15" s="762"/>
      <c r="AE15" s="763"/>
    </row>
    <row r="16" spans="1:31" ht="18" customHeight="1">
      <c r="A16" s="630"/>
      <c r="B16" s="631"/>
      <c r="C16" s="631"/>
      <c r="D16" s="631"/>
      <c r="E16" s="631"/>
      <c r="F16" s="631"/>
      <c r="G16" s="631"/>
      <c r="H16" s="753"/>
      <c r="I16" s="753"/>
      <c r="J16" s="753"/>
      <c r="K16" s="753"/>
      <c r="L16" s="753"/>
      <c r="M16" s="753"/>
      <c r="N16" s="753"/>
      <c r="O16" s="753"/>
      <c r="P16" s="753"/>
      <c r="Q16" s="753"/>
      <c r="R16" s="753"/>
      <c r="S16" s="753"/>
      <c r="T16" s="753"/>
      <c r="U16" s="753"/>
      <c r="V16" s="753"/>
      <c r="W16" s="753"/>
      <c r="X16" s="753"/>
      <c r="Y16" s="631"/>
      <c r="Z16" s="705"/>
      <c r="AA16" s="706"/>
      <c r="AB16" s="631"/>
      <c r="AC16" s="761"/>
      <c r="AD16" s="762"/>
      <c r="AE16" s="763"/>
    </row>
    <row r="17" spans="1:31" ht="18" customHeight="1">
      <c r="A17" s="630"/>
      <c r="B17" s="631"/>
      <c r="C17" s="631"/>
      <c r="D17" s="631"/>
      <c r="E17" s="631"/>
      <c r="F17" s="631"/>
      <c r="G17" s="631"/>
      <c r="H17" s="753"/>
      <c r="I17" s="753"/>
      <c r="J17" s="753"/>
      <c r="K17" s="753"/>
      <c r="L17" s="753"/>
      <c r="M17" s="753"/>
      <c r="N17" s="753"/>
      <c r="O17" s="753"/>
      <c r="P17" s="753"/>
      <c r="Q17" s="753"/>
      <c r="R17" s="753"/>
      <c r="S17" s="753"/>
      <c r="T17" s="753"/>
      <c r="U17" s="753"/>
      <c r="V17" s="753"/>
      <c r="W17" s="753"/>
      <c r="X17" s="753"/>
      <c r="Y17" s="631"/>
      <c r="Z17" s="705"/>
      <c r="AA17" s="706"/>
      <c r="AB17" s="631"/>
      <c r="AC17" s="761"/>
      <c r="AD17" s="762"/>
      <c r="AE17" s="763"/>
    </row>
    <row r="18" spans="1:31" ht="18" customHeight="1">
      <c r="A18" s="630"/>
      <c r="B18" s="631"/>
      <c r="C18" s="631"/>
      <c r="D18" s="631"/>
      <c r="E18" s="631"/>
      <c r="F18" s="631"/>
      <c r="G18" s="631"/>
      <c r="H18" s="753"/>
      <c r="I18" s="753"/>
      <c r="J18" s="753"/>
      <c r="K18" s="753"/>
      <c r="L18" s="753"/>
      <c r="M18" s="753"/>
      <c r="N18" s="753"/>
      <c r="O18" s="753"/>
      <c r="P18" s="753"/>
      <c r="Q18" s="753"/>
      <c r="R18" s="753"/>
      <c r="S18" s="753"/>
      <c r="T18" s="753"/>
      <c r="U18" s="753"/>
      <c r="V18" s="753"/>
      <c r="W18" s="753"/>
      <c r="X18" s="753"/>
      <c r="Y18" s="631"/>
      <c r="Z18" s="705"/>
      <c r="AA18" s="706"/>
      <c r="AB18" s="631"/>
      <c r="AC18" s="761"/>
      <c r="AD18" s="762"/>
      <c r="AE18" s="763"/>
    </row>
    <row r="19" spans="1:31" ht="18" customHeight="1">
      <c r="A19" s="630"/>
      <c r="B19" s="631"/>
      <c r="C19" s="631"/>
      <c r="D19" s="631"/>
      <c r="E19" s="631"/>
      <c r="F19" s="631"/>
      <c r="G19" s="631"/>
      <c r="H19" s="753"/>
      <c r="I19" s="753"/>
      <c r="J19" s="753"/>
      <c r="K19" s="753"/>
      <c r="L19" s="753"/>
      <c r="M19" s="753"/>
      <c r="N19" s="753"/>
      <c r="O19" s="753"/>
      <c r="P19" s="753"/>
      <c r="Q19" s="753"/>
      <c r="R19" s="753"/>
      <c r="S19" s="753"/>
      <c r="T19" s="753"/>
      <c r="U19" s="753"/>
      <c r="V19" s="753"/>
      <c r="W19" s="753"/>
      <c r="X19" s="753"/>
      <c r="Y19" s="631"/>
      <c r="Z19" s="705"/>
      <c r="AA19" s="706"/>
      <c r="AB19" s="631"/>
      <c r="AC19" s="761"/>
      <c r="AD19" s="762"/>
      <c r="AE19" s="763"/>
    </row>
    <row r="20" spans="1:31" ht="18" customHeight="1">
      <c r="A20" s="630"/>
      <c r="B20" s="631"/>
      <c r="C20" s="631"/>
      <c r="D20" s="631"/>
      <c r="E20" s="631"/>
      <c r="F20" s="631"/>
      <c r="G20" s="631"/>
      <c r="H20" s="753"/>
      <c r="I20" s="753"/>
      <c r="J20" s="753"/>
      <c r="K20" s="753"/>
      <c r="L20" s="753"/>
      <c r="M20" s="753"/>
      <c r="N20" s="753"/>
      <c r="O20" s="753"/>
      <c r="P20" s="753"/>
      <c r="Q20" s="753"/>
      <c r="R20" s="753"/>
      <c r="S20" s="753"/>
      <c r="T20" s="753"/>
      <c r="U20" s="753"/>
      <c r="V20" s="753"/>
      <c r="W20" s="753"/>
      <c r="X20" s="753"/>
      <c r="Y20" s="631"/>
      <c r="Z20" s="705"/>
      <c r="AA20" s="706"/>
      <c r="AB20" s="631"/>
      <c r="AC20" s="761"/>
      <c r="AD20" s="762"/>
      <c r="AE20" s="763"/>
    </row>
    <row r="21" spans="1:31" ht="18" customHeight="1">
      <c r="A21" s="630"/>
      <c r="B21" s="631"/>
      <c r="C21" s="631"/>
      <c r="D21" s="631"/>
      <c r="E21" s="631"/>
      <c r="F21" s="631"/>
      <c r="G21" s="631"/>
      <c r="H21" s="753"/>
      <c r="I21" s="753"/>
      <c r="J21" s="753"/>
      <c r="K21" s="753"/>
      <c r="L21" s="753"/>
      <c r="M21" s="753"/>
      <c r="N21" s="753"/>
      <c r="O21" s="753"/>
      <c r="P21" s="753"/>
      <c r="Q21" s="753"/>
      <c r="R21" s="753"/>
      <c r="S21" s="753"/>
      <c r="T21" s="753"/>
      <c r="U21" s="753"/>
      <c r="V21" s="753"/>
      <c r="W21" s="753"/>
      <c r="X21" s="753"/>
      <c r="Y21" s="631"/>
      <c r="Z21" s="705"/>
      <c r="AA21" s="706"/>
      <c r="AB21" s="631"/>
      <c r="AC21" s="761"/>
      <c r="AD21" s="762"/>
      <c r="AE21" s="763"/>
    </row>
    <row r="22" spans="1:31" ht="18" customHeight="1">
      <c r="A22" s="630"/>
      <c r="B22" s="631"/>
      <c r="C22" s="631"/>
      <c r="D22" s="631"/>
      <c r="E22" s="631"/>
      <c r="F22" s="631"/>
      <c r="G22" s="631"/>
      <c r="H22" s="753"/>
      <c r="I22" s="753"/>
      <c r="J22" s="753"/>
      <c r="K22" s="753"/>
      <c r="L22" s="753"/>
      <c r="M22" s="753"/>
      <c r="N22" s="753"/>
      <c r="O22" s="753"/>
      <c r="P22" s="753"/>
      <c r="Q22" s="753"/>
      <c r="R22" s="753"/>
      <c r="S22" s="753"/>
      <c r="T22" s="753"/>
      <c r="U22" s="753"/>
      <c r="V22" s="753"/>
      <c r="W22" s="753"/>
      <c r="X22" s="753"/>
      <c r="Y22" s="631"/>
      <c r="Z22" s="705"/>
      <c r="AA22" s="706"/>
      <c r="AB22" s="631"/>
      <c r="AC22" s="761"/>
      <c r="AD22" s="762"/>
      <c r="AE22" s="763"/>
    </row>
    <row r="23" spans="1:31" ht="18" customHeight="1">
      <c r="A23" s="630"/>
      <c r="B23" s="631"/>
      <c r="C23" s="631"/>
      <c r="D23" s="631"/>
      <c r="E23" s="631"/>
      <c r="F23" s="631"/>
      <c r="G23" s="631"/>
      <c r="H23" s="753"/>
      <c r="I23" s="753"/>
      <c r="J23" s="753"/>
      <c r="K23" s="753"/>
      <c r="L23" s="753"/>
      <c r="M23" s="753"/>
      <c r="N23" s="753"/>
      <c r="O23" s="753"/>
      <c r="P23" s="753"/>
      <c r="Q23" s="753"/>
      <c r="R23" s="753"/>
      <c r="S23" s="753"/>
      <c r="T23" s="753"/>
      <c r="U23" s="753"/>
      <c r="V23" s="753"/>
      <c r="W23" s="753"/>
      <c r="X23" s="753"/>
      <c r="Y23" s="631"/>
      <c r="Z23" s="705"/>
      <c r="AA23" s="706"/>
      <c r="AB23" s="631"/>
      <c r="AC23" s="761"/>
      <c r="AD23" s="762"/>
      <c r="AE23" s="763"/>
    </row>
    <row r="24" spans="1:31" ht="18" customHeight="1">
      <c r="A24" s="630"/>
      <c r="B24" s="631"/>
      <c r="C24" s="631"/>
      <c r="D24" s="631"/>
      <c r="E24" s="631"/>
      <c r="F24" s="631"/>
      <c r="G24" s="631"/>
      <c r="H24" s="753"/>
      <c r="I24" s="753"/>
      <c r="J24" s="753"/>
      <c r="K24" s="753"/>
      <c r="L24" s="753"/>
      <c r="M24" s="753"/>
      <c r="N24" s="753"/>
      <c r="O24" s="753"/>
      <c r="P24" s="753"/>
      <c r="Q24" s="753"/>
      <c r="R24" s="753"/>
      <c r="S24" s="753"/>
      <c r="T24" s="753"/>
      <c r="U24" s="753"/>
      <c r="V24" s="753"/>
      <c r="W24" s="753"/>
      <c r="X24" s="753"/>
      <c r="Y24" s="631"/>
      <c r="Z24" s="705"/>
      <c r="AA24" s="706"/>
      <c r="AB24" s="631"/>
      <c r="AC24" s="761"/>
      <c r="AD24" s="762"/>
      <c r="AE24" s="763"/>
    </row>
    <row r="25" spans="1:31" ht="18" customHeight="1">
      <c r="A25" s="630"/>
      <c r="B25" s="631"/>
      <c r="C25" s="631"/>
      <c r="D25" s="631"/>
      <c r="E25" s="631"/>
      <c r="F25" s="631"/>
      <c r="G25" s="631"/>
      <c r="H25" s="753"/>
      <c r="I25" s="753"/>
      <c r="J25" s="753"/>
      <c r="K25" s="753"/>
      <c r="L25" s="753"/>
      <c r="M25" s="753"/>
      <c r="N25" s="753"/>
      <c r="O25" s="753"/>
      <c r="P25" s="753"/>
      <c r="Q25" s="753"/>
      <c r="R25" s="753"/>
      <c r="S25" s="753"/>
      <c r="T25" s="753"/>
      <c r="U25" s="753"/>
      <c r="V25" s="753"/>
      <c r="W25" s="753"/>
      <c r="X25" s="753"/>
      <c r="Y25" s="631"/>
      <c r="Z25" s="705"/>
      <c r="AA25" s="706"/>
      <c r="AB25" s="631"/>
      <c r="AC25" s="761"/>
      <c r="AD25" s="762"/>
      <c r="AE25" s="763"/>
    </row>
    <row r="26" spans="1:31" ht="18" customHeight="1">
      <c r="A26" s="630"/>
      <c r="B26" s="631"/>
      <c r="C26" s="631"/>
      <c r="D26" s="631"/>
      <c r="E26" s="631"/>
      <c r="F26" s="631"/>
      <c r="G26" s="631"/>
      <c r="H26" s="753"/>
      <c r="I26" s="753"/>
      <c r="J26" s="753"/>
      <c r="K26" s="753"/>
      <c r="L26" s="753"/>
      <c r="M26" s="753"/>
      <c r="N26" s="753"/>
      <c r="O26" s="753"/>
      <c r="P26" s="753"/>
      <c r="Q26" s="753"/>
      <c r="R26" s="753"/>
      <c r="S26" s="753"/>
      <c r="T26" s="753"/>
      <c r="U26" s="753"/>
      <c r="V26" s="753"/>
      <c r="W26" s="753"/>
      <c r="X26" s="753"/>
      <c r="Y26" s="631"/>
      <c r="Z26" s="705"/>
      <c r="AA26" s="706"/>
      <c r="AB26" s="631"/>
      <c r="AC26" s="761"/>
      <c r="AD26" s="762"/>
      <c r="AE26" s="763"/>
    </row>
    <row r="27" spans="1:31" ht="18" customHeight="1">
      <c r="A27" s="630"/>
      <c r="B27" s="631"/>
      <c r="C27" s="631"/>
      <c r="D27" s="631"/>
      <c r="E27" s="631"/>
      <c r="F27" s="631"/>
      <c r="G27" s="631"/>
      <c r="H27" s="753"/>
      <c r="I27" s="753"/>
      <c r="J27" s="753"/>
      <c r="K27" s="753"/>
      <c r="L27" s="753"/>
      <c r="M27" s="753"/>
      <c r="N27" s="753"/>
      <c r="O27" s="753"/>
      <c r="P27" s="753"/>
      <c r="Q27" s="753"/>
      <c r="R27" s="753"/>
      <c r="S27" s="753"/>
      <c r="T27" s="753"/>
      <c r="U27" s="753"/>
      <c r="V27" s="753"/>
      <c r="W27" s="753"/>
      <c r="X27" s="753"/>
      <c r="Y27" s="631"/>
      <c r="Z27" s="705"/>
      <c r="AA27" s="706"/>
      <c r="AB27" s="631"/>
      <c r="AC27" s="761"/>
      <c r="AD27" s="762"/>
      <c r="AE27" s="763"/>
    </row>
    <row r="28" spans="1:31" ht="18" customHeight="1">
      <c r="A28" s="630"/>
      <c r="B28" s="631"/>
      <c r="C28" s="631"/>
      <c r="D28" s="631"/>
      <c r="E28" s="631"/>
      <c r="F28" s="631"/>
      <c r="G28" s="631"/>
      <c r="H28" s="753"/>
      <c r="I28" s="753"/>
      <c r="J28" s="753"/>
      <c r="K28" s="753"/>
      <c r="L28" s="753"/>
      <c r="M28" s="753"/>
      <c r="N28" s="753"/>
      <c r="O28" s="753"/>
      <c r="P28" s="753"/>
      <c r="Q28" s="753"/>
      <c r="R28" s="753"/>
      <c r="S28" s="753"/>
      <c r="T28" s="753"/>
      <c r="U28" s="753"/>
      <c r="V28" s="753"/>
      <c r="W28" s="753"/>
      <c r="X28" s="753"/>
      <c r="Y28" s="631"/>
      <c r="Z28" s="705"/>
      <c r="AA28" s="706"/>
      <c r="AB28" s="631"/>
      <c r="AC28" s="761"/>
      <c r="AD28" s="762"/>
      <c r="AE28" s="763"/>
    </row>
    <row r="29" spans="1:31" ht="18" customHeight="1">
      <c r="A29" s="630"/>
      <c r="B29" s="631"/>
      <c r="C29" s="631"/>
      <c r="D29" s="631"/>
      <c r="E29" s="631"/>
      <c r="F29" s="631"/>
      <c r="G29" s="631"/>
      <c r="H29" s="753"/>
      <c r="I29" s="753"/>
      <c r="J29" s="753"/>
      <c r="K29" s="753"/>
      <c r="L29" s="753"/>
      <c r="M29" s="753"/>
      <c r="N29" s="753"/>
      <c r="O29" s="753"/>
      <c r="P29" s="753"/>
      <c r="Q29" s="753"/>
      <c r="R29" s="753"/>
      <c r="S29" s="753"/>
      <c r="T29" s="753"/>
      <c r="U29" s="753"/>
      <c r="V29" s="753"/>
      <c r="W29" s="753"/>
      <c r="X29" s="753"/>
      <c r="Y29" s="631"/>
      <c r="Z29" s="705"/>
      <c r="AA29" s="706"/>
      <c r="AB29" s="631"/>
      <c r="AC29" s="761"/>
      <c r="AD29" s="762"/>
      <c r="AE29" s="763"/>
    </row>
    <row r="30" spans="1:31" ht="18" customHeight="1">
      <c r="A30" s="630"/>
      <c r="B30" s="631"/>
      <c r="C30" s="631"/>
      <c r="D30" s="631"/>
      <c r="E30" s="631"/>
      <c r="F30" s="631"/>
      <c r="G30" s="631"/>
      <c r="H30" s="753"/>
      <c r="I30" s="753"/>
      <c r="J30" s="753"/>
      <c r="K30" s="753"/>
      <c r="L30" s="753"/>
      <c r="M30" s="753"/>
      <c r="N30" s="753"/>
      <c r="O30" s="753"/>
      <c r="P30" s="753"/>
      <c r="Q30" s="753"/>
      <c r="R30" s="753"/>
      <c r="S30" s="753"/>
      <c r="T30" s="753"/>
      <c r="U30" s="753"/>
      <c r="V30" s="753"/>
      <c r="W30" s="753"/>
      <c r="X30" s="753"/>
      <c r="Y30" s="631"/>
      <c r="Z30" s="705"/>
      <c r="AA30" s="706"/>
      <c r="AB30" s="631"/>
      <c r="AC30" s="761"/>
      <c r="AD30" s="762"/>
      <c r="AE30" s="763"/>
    </row>
    <row r="31" spans="1:31" ht="18" customHeight="1">
      <c r="A31" s="630"/>
      <c r="B31" s="631"/>
      <c r="C31" s="631"/>
      <c r="D31" s="631"/>
      <c r="E31" s="631"/>
      <c r="F31" s="631"/>
      <c r="G31" s="631"/>
      <c r="H31" s="753"/>
      <c r="I31" s="753"/>
      <c r="J31" s="753"/>
      <c r="K31" s="753"/>
      <c r="L31" s="753"/>
      <c r="M31" s="753"/>
      <c r="N31" s="753"/>
      <c r="O31" s="753"/>
      <c r="P31" s="753"/>
      <c r="Q31" s="753"/>
      <c r="R31" s="753"/>
      <c r="S31" s="753"/>
      <c r="T31" s="753"/>
      <c r="U31" s="753"/>
      <c r="V31" s="753"/>
      <c r="W31" s="753"/>
      <c r="X31" s="753"/>
      <c r="Y31" s="631"/>
      <c r="Z31" s="705"/>
      <c r="AA31" s="706"/>
      <c r="AB31" s="631"/>
      <c r="AC31" s="761"/>
      <c r="AD31" s="762"/>
      <c r="AE31" s="763"/>
    </row>
    <row r="32" spans="1:31" ht="18" customHeight="1">
      <c r="A32" s="630"/>
      <c r="B32" s="631"/>
      <c r="C32" s="631"/>
      <c r="D32" s="631"/>
      <c r="E32" s="631"/>
      <c r="F32" s="631"/>
      <c r="G32" s="631"/>
      <c r="H32" s="753"/>
      <c r="I32" s="753"/>
      <c r="J32" s="753"/>
      <c r="K32" s="753"/>
      <c r="L32" s="753"/>
      <c r="M32" s="753"/>
      <c r="N32" s="753"/>
      <c r="O32" s="753"/>
      <c r="P32" s="753"/>
      <c r="Q32" s="753"/>
      <c r="R32" s="753"/>
      <c r="S32" s="753"/>
      <c r="T32" s="753"/>
      <c r="U32" s="753"/>
      <c r="V32" s="753"/>
      <c r="W32" s="753"/>
      <c r="X32" s="753"/>
      <c r="Y32" s="631"/>
      <c r="Z32" s="705"/>
      <c r="AA32" s="706"/>
      <c r="AB32" s="631"/>
      <c r="AC32" s="761"/>
      <c r="AD32" s="762"/>
      <c r="AE32" s="763"/>
    </row>
    <row r="33" spans="1:31" ht="18" customHeight="1">
      <c r="A33" s="630"/>
      <c r="B33" s="631"/>
      <c r="C33" s="631"/>
      <c r="D33" s="631"/>
      <c r="E33" s="631"/>
      <c r="F33" s="631"/>
      <c r="G33" s="631"/>
      <c r="H33" s="753"/>
      <c r="I33" s="753"/>
      <c r="J33" s="753"/>
      <c r="K33" s="753"/>
      <c r="L33" s="753"/>
      <c r="M33" s="753"/>
      <c r="N33" s="753"/>
      <c r="O33" s="753"/>
      <c r="P33" s="753"/>
      <c r="Q33" s="753"/>
      <c r="R33" s="753"/>
      <c r="S33" s="753"/>
      <c r="T33" s="753"/>
      <c r="U33" s="753"/>
      <c r="V33" s="753"/>
      <c r="W33" s="753"/>
      <c r="X33" s="753"/>
      <c r="Y33" s="631"/>
      <c r="Z33" s="705"/>
      <c r="AA33" s="706"/>
      <c r="AB33" s="631"/>
      <c r="AC33" s="761"/>
      <c r="AD33" s="762"/>
      <c r="AE33" s="763"/>
    </row>
    <row r="34" spans="1:31" ht="18" customHeight="1">
      <c r="A34" s="630"/>
      <c r="B34" s="631"/>
      <c r="C34" s="631"/>
      <c r="D34" s="631"/>
      <c r="E34" s="631"/>
      <c r="F34" s="631"/>
      <c r="G34" s="631"/>
      <c r="H34" s="753"/>
      <c r="I34" s="753"/>
      <c r="J34" s="753"/>
      <c r="K34" s="753"/>
      <c r="L34" s="753"/>
      <c r="M34" s="753"/>
      <c r="N34" s="753"/>
      <c r="O34" s="753"/>
      <c r="P34" s="753"/>
      <c r="Q34" s="753"/>
      <c r="R34" s="753"/>
      <c r="S34" s="753"/>
      <c r="T34" s="753"/>
      <c r="U34" s="753"/>
      <c r="V34" s="753"/>
      <c r="W34" s="753"/>
      <c r="X34" s="753"/>
      <c r="Y34" s="631"/>
      <c r="Z34" s="705"/>
      <c r="AA34" s="706"/>
      <c r="AB34" s="631"/>
      <c r="AC34" s="761"/>
      <c r="AD34" s="762"/>
      <c r="AE34" s="763"/>
    </row>
    <row r="35" spans="1:31" ht="18" customHeight="1">
      <c r="A35" s="630"/>
      <c r="B35" s="631"/>
      <c r="C35" s="631"/>
      <c r="D35" s="631"/>
      <c r="E35" s="631"/>
      <c r="F35" s="631"/>
      <c r="G35" s="631"/>
      <c r="H35" s="753"/>
      <c r="I35" s="753"/>
      <c r="J35" s="753"/>
      <c r="K35" s="753"/>
      <c r="L35" s="753"/>
      <c r="M35" s="753"/>
      <c r="N35" s="753"/>
      <c r="O35" s="753"/>
      <c r="P35" s="753"/>
      <c r="Q35" s="753"/>
      <c r="R35" s="753"/>
      <c r="S35" s="753"/>
      <c r="T35" s="753"/>
      <c r="U35" s="753"/>
      <c r="V35" s="753"/>
      <c r="W35" s="753"/>
      <c r="X35" s="753"/>
      <c r="Y35" s="631"/>
      <c r="Z35" s="705"/>
      <c r="AA35" s="706"/>
      <c r="AB35" s="631"/>
      <c r="AC35" s="761"/>
      <c r="AD35" s="762"/>
      <c r="AE35" s="763"/>
    </row>
    <row r="36" spans="1:31" ht="18" customHeight="1">
      <c r="A36" s="630"/>
      <c r="B36" s="631"/>
      <c r="C36" s="631"/>
      <c r="D36" s="631"/>
      <c r="E36" s="631"/>
      <c r="F36" s="631"/>
      <c r="G36" s="631"/>
      <c r="H36" s="753"/>
      <c r="I36" s="753"/>
      <c r="J36" s="753"/>
      <c r="K36" s="753"/>
      <c r="L36" s="753"/>
      <c r="M36" s="753"/>
      <c r="N36" s="753"/>
      <c r="O36" s="753"/>
      <c r="P36" s="753"/>
      <c r="Q36" s="753"/>
      <c r="R36" s="753"/>
      <c r="S36" s="753"/>
      <c r="T36" s="753"/>
      <c r="U36" s="753"/>
      <c r="V36" s="753"/>
      <c r="W36" s="753"/>
      <c r="X36" s="753"/>
      <c r="Y36" s="631"/>
      <c r="Z36" s="705"/>
      <c r="AA36" s="706"/>
      <c r="AB36" s="631"/>
      <c r="AC36" s="761"/>
      <c r="AD36" s="762"/>
      <c r="AE36" s="763"/>
    </row>
    <row r="37" spans="1:31" ht="18" customHeight="1">
      <c r="A37" s="630"/>
      <c r="B37" s="631"/>
      <c r="C37" s="631"/>
      <c r="D37" s="631"/>
      <c r="E37" s="631"/>
      <c r="F37" s="631"/>
      <c r="G37" s="631"/>
      <c r="H37" s="753"/>
      <c r="I37" s="753"/>
      <c r="J37" s="753"/>
      <c r="K37" s="753"/>
      <c r="L37" s="753"/>
      <c r="M37" s="753"/>
      <c r="N37" s="753"/>
      <c r="O37" s="753"/>
      <c r="P37" s="753"/>
      <c r="Q37" s="753"/>
      <c r="R37" s="753"/>
      <c r="S37" s="753"/>
      <c r="T37" s="753"/>
      <c r="U37" s="753"/>
      <c r="V37" s="753"/>
      <c r="W37" s="753"/>
      <c r="X37" s="753"/>
      <c r="Y37" s="631"/>
      <c r="Z37" s="705"/>
      <c r="AA37" s="706"/>
      <c r="AB37" s="631"/>
      <c r="AC37" s="761"/>
      <c r="AD37" s="762"/>
      <c r="AE37" s="763"/>
    </row>
    <row r="38" spans="1:31" ht="18" customHeight="1">
      <c r="A38" s="630"/>
      <c r="B38" s="631"/>
      <c r="C38" s="631"/>
      <c r="D38" s="631"/>
      <c r="E38" s="631"/>
      <c r="F38" s="631"/>
      <c r="G38" s="631"/>
      <c r="H38" s="753"/>
      <c r="I38" s="753"/>
      <c r="J38" s="753"/>
      <c r="K38" s="753"/>
      <c r="L38" s="753"/>
      <c r="M38" s="753"/>
      <c r="N38" s="753"/>
      <c r="O38" s="753"/>
      <c r="P38" s="753"/>
      <c r="Q38" s="753"/>
      <c r="R38" s="753"/>
      <c r="S38" s="753"/>
      <c r="T38" s="753"/>
      <c r="U38" s="753"/>
      <c r="V38" s="753"/>
      <c r="W38" s="753"/>
      <c r="X38" s="753"/>
      <c r="Y38" s="631"/>
      <c r="Z38" s="705"/>
      <c r="AA38" s="706"/>
      <c r="AB38" s="631"/>
      <c r="AC38" s="761"/>
      <c r="AD38" s="762"/>
      <c r="AE38" s="763"/>
    </row>
    <row r="39" spans="1:31" ht="18" customHeight="1">
      <c r="A39" s="630"/>
      <c r="B39" s="631"/>
      <c r="C39" s="631"/>
      <c r="D39" s="631"/>
      <c r="E39" s="631"/>
      <c r="F39" s="631"/>
      <c r="G39" s="632"/>
      <c r="H39" s="630"/>
      <c r="I39" s="631"/>
      <c r="J39" s="631"/>
      <c r="K39" s="631"/>
      <c r="L39" s="632"/>
      <c r="M39" s="630"/>
      <c r="N39" s="632"/>
      <c r="O39" s="630"/>
      <c r="P39" s="632"/>
      <c r="Q39" s="630"/>
      <c r="R39" s="631"/>
      <c r="S39" s="631"/>
      <c r="T39" s="631"/>
      <c r="U39" s="631"/>
      <c r="V39" s="631"/>
      <c r="W39" s="631"/>
      <c r="X39" s="632"/>
      <c r="Y39" s="630"/>
      <c r="Z39" s="705"/>
      <c r="AA39" s="706"/>
      <c r="AB39" s="632"/>
      <c r="AC39" s="761"/>
      <c r="AD39" s="762"/>
      <c r="AE39" s="763"/>
    </row>
    <row r="40" spans="1:31" ht="18" customHeight="1">
      <c r="A40" s="630"/>
      <c r="B40" s="631"/>
      <c r="C40" s="631"/>
      <c r="D40" s="631"/>
      <c r="E40" s="631"/>
      <c r="F40" s="631"/>
      <c r="G40" s="632"/>
      <c r="H40" s="630"/>
      <c r="I40" s="631"/>
      <c r="J40" s="631"/>
      <c r="K40" s="631"/>
      <c r="L40" s="632"/>
      <c r="M40" s="630"/>
      <c r="N40" s="632"/>
      <c r="O40" s="630"/>
      <c r="P40" s="632"/>
      <c r="Q40" s="630"/>
      <c r="R40" s="631"/>
      <c r="S40" s="631"/>
      <c r="T40" s="631"/>
      <c r="U40" s="631"/>
      <c r="V40" s="631"/>
      <c r="W40" s="631"/>
      <c r="X40" s="632"/>
      <c r="Y40" s="630"/>
      <c r="Z40" s="705"/>
      <c r="AA40" s="706"/>
      <c r="AB40" s="632"/>
      <c r="AC40" s="761"/>
      <c r="AD40" s="762"/>
      <c r="AE40" s="763"/>
    </row>
    <row r="41" spans="1:31" ht="18" customHeight="1">
      <c r="A41" s="630"/>
      <c r="B41" s="631"/>
      <c r="C41" s="631"/>
      <c r="D41" s="631"/>
      <c r="E41" s="631"/>
      <c r="F41" s="631"/>
      <c r="G41" s="631"/>
      <c r="H41" s="753"/>
      <c r="I41" s="753"/>
      <c r="J41" s="753"/>
      <c r="K41" s="753"/>
      <c r="L41" s="753"/>
      <c r="M41" s="753"/>
      <c r="N41" s="753"/>
      <c r="O41" s="753"/>
      <c r="P41" s="753"/>
      <c r="Q41" s="753"/>
      <c r="R41" s="753"/>
      <c r="S41" s="753"/>
      <c r="T41" s="753"/>
      <c r="U41" s="753"/>
      <c r="V41" s="753"/>
      <c r="W41" s="753"/>
      <c r="X41" s="753"/>
      <c r="Y41" s="631"/>
      <c r="Z41" s="705"/>
      <c r="AA41" s="706"/>
      <c r="AB41" s="631"/>
      <c r="AC41" s="761"/>
      <c r="AD41" s="762"/>
      <c r="AE41" s="763"/>
    </row>
    <row r="42" spans="1:31" ht="18" customHeight="1">
      <c r="A42" s="630"/>
      <c r="B42" s="631"/>
      <c r="C42" s="631"/>
      <c r="D42" s="631"/>
      <c r="E42" s="631"/>
      <c r="F42" s="631"/>
      <c r="G42" s="631"/>
      <c r="H42" s="753"/>
      <c r="I42" s="753"/>
      <c r="J42" s="753"/>
      <c r="K42" s="753"/>
      <c r="L42" s="753"/>
      <c r="M42" s="753"/>
      <c r="N42" s="753"/>
      <c r="O42" s="753"/>
      <c r="P42" s="753"/>
      <c r="Q42" s="753"/>
      <c r="R42" s="753"/>
      <c r="S42" s="753"/>
      <c r="T42" s="753"/>
      <c r="U42" s="753"/>
      <c r="V42" s="753"/>
      <c r="W42" s="753"/>
      <c r="X42" s="753"/>
      <c r="Y42" s="631"/>
      <c r="Z42" s="705"/>
      <c r="AA42" s="706"/>
      <c r="AB42" s="631"/>
      <c r="AC42" s="761"/>
      <c r="AD42" s="762"/>
      <c r="AE42" s="763"/>
    </row>
    <row r="43" spans="1:31" ht="18" customHeight="1">
      <c r="A43" s="630"/>
      <c r="B43" s="631"/>
      <c r="C43" s="631"/>
      <c r="D43" s="631"/>
      <c r="E43" s="631"/>
      <c r="F43" s="631"/>
      <c r="G43" s="631"/>
      <c r="H43" s="753"/>
      <c r="I43" s="753"/>
      <c r="J43" s="753"/>
      <c r="K43" s="753"/>
      <c r="L43" s="753"/>
      <c r="M43" s="753"/>
      <c r="N43" s="753"/>
      <c r="O43" s="753"/>
      <c r="P43" s="753"/>
      <c r="Q43" s="753"/>
      <c r="R43" s="753"/>
      <c r="S43" s="753"/>
      <c r="T43" s="753"/>
      <c r="U43" s="753"/>
      <c r="V43" s="753"/>
      <c r="W43" s="753"/>
      <c r="X43" s="753"/>
      <c r="Y43" s="631"/>
      <c r="Z43" s="705"/>
      <c r="AA43" s="706"/>
      <c r="AB43" s="631"/>
      <c r="AC43" s="761"/>
      <c r="AD43" s="762"/>
      <c r="AE43" s="763"/>
    </row>
    <row r="44" spans="1:31" ht="18" customHeight="1">
      <c r="A44" s="630"/>
      <c r="B44" s="631"/>
      <c r="C44" s="631"/>
      <c r="D44" s="631"/>
      <c r="E44" s="631"/>
      <c r="F44" s="631"/>
      <c r="G44" s="631"/>
      <c r="H44" s="753"/>
      <c r="I44" s="753"/>
      <c r="J44" s="753"/>
      <c r="K44" s="753"/>
      <c r="L44" s="753"/>
      <c r="M44" s="753"/>
      <c r="N44" s="753"/>
      <c r="O44" s="753"/>
      <c r="P44" s="753"/>
      <c r="Q44" s="753"/>
      <c r="R44" s="753"/>
      <c r="S44" s="753"/>
      <c r="T44" s="753"/>
      <c r="U44" s="753"/>
      <c r="V44" s="753"/>
      <c r="W44" s="753"/>
      <c r="X44" s="753"/>
      <c r="Y44" s="631"/>
      <c r="Z44" s="705"/>
      <c r="AA44" s="706"/>
      <c r="AB44" s="631"/>
      <c r="AC44" s="761"/>
      <c r="AD44" s="762"/>
      <c r="AE44" s="763"/>
    </row>
    <row r="45" spans="1:31" ht="18" customHeight="1">
      <c r="A45" s="630"/>
      <c r="B45" s="631"/>
      <c r="C45" s="631"/>
      <c r="D45" s="631"/>
      <c r="E45" s="631"/>
      <c r="F45" s="631"/>
      <c r="G45" s="631"/>
      <c r="H45" s="753"/>
      <c r="I45" s="753"/>
      <c r="J45" s="753"/>
      <c r="K45" s="753"/>
      <c r="L45" s="753"/>
      <c r="M45" s="753"/>
      <c r="N45" s="753"/>
      <c r="O45" s="753"/>
      <c r="P45" s="753"/>
      <c r="Q45" s="753"/>
      <c r="R45" s="753"/>
      <c r="S45" s="753"/>
      <c r="T45" s="753"/>
      <c r="U45" s="753"/>
      <c r="V45" s="753"/>
      <c r="W45" s="753"/>
      <c r="X45" s="753"/>
      <c r="Y45" s="631"/>
      <c r="Z45" s="705"/>
      <c r="AA45" s="706"/>
      <c r="AB45" s="631"/>
      <c r="AC45" s="761"/>
      <c r="AD45" s="762"/>
      <c r="AE45" s="763"/>
    </row>
    <row r="46" spans="1:31" ht="18" customHeight="1">
      <c r="A46" s="630"/>
      <c r="B46" s="631"/>
      <c r="C46" s="631"/>
      <c r="D46" s="631"/>
      <c r="E46" s="631"/>
      <c r="F46" s="631"/>
      <c r="G46" s="631"/>
      <c r="H46" s="753"/>
      <c r="I46" s="753"/>
      <c r="J46" s="753"/>
      <c r="K46" s="753"/>
      <c r="L46" s="753"/>
      <c r="M46" s="753"/>
      <c r="N46" s="753"/>
      <c r="O46" s="753"/>
      <c r="P46" s="753"/>
      <c r="Q46" s="753"/>
      <c r="R46" s="753"/>
      <c r="S46" s="753"/>
      <c r="T46" s="753"/>
      <c r="U46" s="753"/>
      <c r="V46" s="753"/>
      <c r="W46" s="753"/>
      <c r="X46" s="753"/>
      <c r="Y46" s="631"/>
      <c r="Z46" s="705"/>
      <c r="AA46" s="706"/>
      <c r="AB46" s="631"/>
      <c r="AC46" s="761"/>
      <c r="AD46" s="762"/>
      <c r="AE46" s="763"/>
    </row>
    <row r="47" spans="1:31" ht="18" customHeight="1">
      <c r="A47" s="630"/>
      <c r="B47" s="631"/>
      <c r="C47" s="631"/>
      <c r="D47" s="631"/>
      <c r="E47" s="631"/>
      <c r="F47" s="631"/>
      <c r="G47" s="631"/>
      <c r="H47" s="753"/>
      <c r="I47" s="753"/>
      <c r="J47" s="753"/>
      <c r="K47" s="753"/>
      <c r="L47" s="753"/>
      <c r="M47" s="753"/>
      <c r="N47" s="753"/>
      <c r="O47" s="753"/>
      <c r="P47" s="753"/>
      <c r="Q47" s="753"/>
      <c r="R47" s="753"/>
      <c r="S47" s="753"/>
      <c r="T47" s="753"/>
      <c r="U47" s="753"/>
      <c r="V47" s="753"/>
      <c r="W47" s="753"/>
      <c r="X47" s="753"/>
      <c r="Y47" s="631"/>
      <c r="Z47" s="705"/>
      <c r="AA47" s="706"/>
      <c r="AB47" s="631"/>
      <c r="AC47" s="761"/>
      <c r="AD47" s="762"/>
      <c r="AE47" s="763"/>
    </row>
    <row r="48" spans="1:31" ht="18" customHeight="1">
      <c r="A48" s="630"/>
      <c r="B48" s="631"/>
      <c r="C48" s="631"/>
      <c r="D48" s="631"/>
      <c r="E48" s="631"/>
      <c r="F48" s="631"/>
      <c r="G48" s="631"/>
      <c r="H48" s="753"/>
      <c r="I48" s="753"/>
      <c r="J48" s="753"/>
      <c r="K48" s="753"/>
      <c r="L48" s="753"/>
      <c r="M48" s="753"/>
      <c r="N48" s="753"/>
      <c r="O48" s="753"/>
      <c r="P48" s="753"/>
      <c r="Q48" s="753"/>
      <c r="R48" s="753"/>
      <c r="S48" s="753"/>
      <c r="T48" s="753"/>
      <c r="U48" s="753"/>
      <c r="V48" s="753"/>
      <c r="W48" s="753"/>
      <c r="X48" s="753"/>
      <c r="Y48" s="631"/>
      <c r="Z48" s="705"/>
      <c r="AA48" s="706"/>
      <c r="AB48" s="631"/>
      <c r="AC48" s="761"/>
      <c r="AD48" s="762"/>
      <c r="AE48" s="763"/>
    </row>
    <row r="49" spans="1:31" ht="18" customHeight="1">
      <c r="A49" s="630"/>
      <c r="B49" s="631"/>
      <c r="C49" s="631"/>
      <c r="D49" s="631"/>
      <c r="E49" s="631"/>
      <c r="F49" s="631"/>
      <c r="G49" s="631"/>
      <c r="H49" s="753"/>
      <c r="I49" s="753"/>
      <c r="J49" s="753"/>
      <c r="K49" s="753"/>
      <c r="L49" s="753"/>
      <c r="M49" s="753"/>
      <c r="N49" s="753"/>
      <c r="O49" s="753"/>
      <c r="P49" s="753"/>
      <c r="Q49" s="753"/>
      <c r="R49" s="753"/>
      <c r="S49" s="753"/>
      <c r="T49" s="753"/>
      <c r="U49" s="753"/>
      <c r="V49" s="753"/>
      <c r="W49" s="753"/>
      <c r="X49" s="753"/>
      <c r="Y49" s="631"/>
      <c r="Z49" s="705"/>
      <c r="AA49" s="706"/>
      <c r="AB49" s="631"/>
      <c r="AC49" s="761"/>
      <c r="AD49" s="762"/>
      <c r="AE49" s="763"/>
    </row>
    <row r="50" spans="1:31" ht="18" customHeight="1">
      <c r="A50" s="630"/>
      <c r="B50" s="631"/>
      <c r="C50" s="631"/>
      <c r="D50" s="631"/>
      <c r="E50" s="631"/>
      <c r="F50" s="631"/>
      <c r="G50" s="631"/>
      <c r="H50" s="753"/>
      <c r="I50" s="753"/>
      <c r="J50" s="753"/>
      <c r="K50" s="753"/>
      <c r="L50" s="753"/>
      <c r="M50" s="753"/>
      <c r="N50" s="753"/>
      <c r="O50" s="753"/>
      <c r="P50" s="753"/>
      <c r="Q50" s="753"/>
      <c r="R50" s="753"/>
      <c r="S50" s="753"/>
      <c r="T50" s="753"/>
      <c r="U50" s="753"/>
      <c r="V50" s="753"/>
      <c r="W50" s="753"/>
      <c r="X50" s="753"/>
      <c r="Y50" s="631"/>
      <c r="Z50" s="705"/>
      <c r="AA50" s="706"/>
      <c r="AB50" s="631"/>
      <c r="AC50" s="761"/>
      <c r="AD50" s="762"/>
      <c r="AE50" s="763"/>
    </row>
    <row r="51" spans="1:31" ht="18" customHeight="1">
      <c r="A51" s="630"/>
      <c r="B51" s="631"/>
      <c r="C51" s="631"/>
      <c r="D51" s="631"/>
      <c r="E51" s="631"/>
      <c r="F51" s="631"/>
      <c r="G51" s="631"/>
      <c r="H51" s="753"/>
      <c r="I51" s="753"/>
      <c r="J51" s="753"/>
      <c r="K51" s="753"/>
      <c r="L51" s="753"/>
      <c r="M51" s="753"/>
      <c r="N51" s="753"/>
      <c r="O51" s="753"/>
      <c r="P51" s="753"/>
      <c r="Q51" s="753"/>
      <c r="R51" s="753"/>
      <c r="S51" s="753"/>
      <c r="T51" s="753"/>
      <c r="U51" s="753"/>
      <c r="V51" s="753"/>
      <c r="W51" s="753"/>
      <c r="X51" s="753"/>
      <c r="Y51" s="631"/>
      <c r="Z51" s="705"/>
      <c r="AA51" s="706"/>
      <c r="AB51" s="631"/>
      <c r="AC51" s="761"/>
      <c r="AD51" s="762"/>
      <c r="AE51" s="763"/>
    </row>
    <row r="52" spans="1:31" ht="18" customHeight="1">
      <c r="A52" s="630"/>
      <c r="B52" s="631"/>
      <c r="C52" s="631"/>
      <c r="D52" s="631"/>
      <c r="E52" s="631"/>
      <c r="F52" s="631"/>
      <c r="G52" s="631"/>
      <c r="H52" s="753"/>
      <c r="I52" s="753"/>
      <c r="J52" s="753"/>
      <c r="K52" s="753"/>
      <c r="L52" s="753"/>
      <c r="M52" s="753"/>
      <c r="N52" s="753"/>
      <c r="O52" s="753"/>
      <c r="P52" s="753"/>
      <c r="Q52" s="753"/>
      <c r="R52" s="753"/>
      <c r="S52" s="753"/>
      <c r="T52" s="753"/>
      <c r="U52" s="753"/>
      <c r="V52" s="753"/>
      <c r="W52" s="753"/>
      <c r="X52" s="753"/>
      <c r="Y52" s="631"/>
      <c r="Z52" s="705"/>
      <c r="AA52" s="706"/>
      <c r="AB52" s="631"/>
      <c r="AC52" s="761"/>
      <c r="AD52" s="762"/>
      <c r="AE52" s="763"/>
    </row>
    <row r="53" spans="1:31" ht="18" customHeight="1">
      <c r="A53" s="630"/>
      <c r="B53" s="631"/>
      <c r="C53" s="631"/>
      <c r="D53" s="631"/>
      <c r="E53" s="631"/>
      <c r="F53" s="631"/>
      <c r="G53" s="631"/>
      <c r="H53" s="753"/>
      <c r="I53" s="753"/>
      <c r="J53" s="753"/>
      <c r="K53" s="753"/>
      <c r="L53" s="753"/>
      <c r="M53" s="753"/>
      <c r="N53" s="753"/>
      <c r="O53" s="753"/>
      <c r="P53" s="753"/>
      <c r="Q53" s="753"/>
      <c r="R53" s="753"/>
      <c r="S53" s="753"/>
      <c r="T53" s="753"/>
      <c r="U53" s="753"/>
      <c r="V53" s="753"/>
      <c r="W53" s="753"/>
      <c r="X53" s="753"/>
      <c r="Y53" s="631"/>
      <c r="Z53" s="705"/>
      <c r="AA53" s="706"/>
      <c r="AB53" s="631"/>
      <c r="AC53" s="761"/>
      <c r="AD53" s="762"/>
      <c r="AE53" s="763"/>
    </row>
    <row r="54" spans="1:31" ht="18" customHeight="1">
      <c r="A54" s="630"/>
      <c r="B54" s="631"/>
      <c r="C54" s="631"/>
      <c r="D54" s="631"/>
      <c r="E54" s="631"/>
      <c r="F54" s="631"/>
      <c r="G54" s="631"/>
      <c r="H54" s="753"/>
      <c r="I54" s="753"/>
      <c r="J54" s="753"/>
      <c r="K54" s="753"/>
      <c r="L54" s="753"/>
      <c r="M54" s="753"/>
      <c r="N54" s="753"/>
      <c r="O54" s="753"/>
      <c r="P54" s="753"/>
      <c r="Q54" s="753"/>
      <c r="R54" s="753"/>
      <c r="S54" s="753"/>
      <c r="T54" s="753"/>
      <c r="U54" s="753"/>
      <c r="V54" s="753"/>
      <c r="W54" s="753"/>
      <c r="X54" s="753"/>
      <c r="Y54" s="631"/>
      <c r="Z54" s="705"/>
      <c r="AA54" s="706"/>
      <c r="AB54" s="631"/>
      <c r="AC54" s="761"/>
      <c r="AD54" s="762"/>
      <c r="AE54" s="763"/>
    </row>
    <row r="55" spans="1:31" ht="18" customHeight="1">
      <c r="A55" s="630"/>
      <c r="B55" s="631"/>
      <c r="C55" s="631"/>
      <c r="D55" s="631"/>
      <c r="E55" s="631"/>
      <c r="F55" s="631"/>
      <c r="G55" s="631"/>
      <c r="H55" s="753"/>
      <c r="I55" s="753"/>
      <c r="J55" s="753"/>
      <c r="K55" s="753"/>
      <c r="L55" s="753"/>
      <c r="M55" s="753"/>
      <c r="N55" s="753"/>
      <c r="O55" s="753"/>
      <c r="P55" s="753"/>
      <c r="Q55" s="753"/>
      <c r="R55" s="753"/>
      <c r="S55" s="753"/>
      <c r="T55" s="753"/>
      <c r="U55" s="753"/>
      <c r="V55" s="753"/>
      <c r="W55" s="753"/>
      <c r="X55" s="753"/>
      <c r="Y55" s="631"/>
      <c r="Z55" s="705"/>
      <c r="AA55" s="706"/>
      <c r="AB55" s="631"/>
      <c r="AC55" s="761"/>
      <c r="AD55" s="762"/>
      <c r="AE55" s="763"/>
    </row>
    <row r="56" spans="1:31" ht="18" customHeight="1">
      <c r="A56" s="630"/>
      <c r="B56" s="631"/>
      <c r="C56" s="631"/>
      <c r="D56" s="631"/>
      <c r="E56" s="631"/>
      <c r="F56" s="631"/>
      <c r="G56" s="631"/>
      <c r="H56" s="753"/>
      <c r="I56" s="753"/>
      <c r="J56" s="753"/>
      <c r="K56" s="753"/>
      <c r="L56" s="753"/>
      <c r="M56" s="753"/>
      <c r="N56" s="753"/>
      <c r="O56" s="753"/>
      <c r="P56" s="753"/>
      <c r="Q56" s="753"/>
      <c r="R56" s="753"/>
      <c r="S56" s="753"/>
      <c r="T56" s="753"/>
      <c r="U56" s="753"/>
      <c r="V56" s="753"/>
      <c r="W56" s="753"/>
      <c r="X56" s="753"/>
      <c r="Y56" s="631"/>
      <c r="Z56" s="705"/>
      <c r="AA56" s="706"/>
      <c r="AB56" s="631"/>
      <c r="AC56" s="761"/>
      <c r="AD56" s="762"/>
      <c r="AE56" s="763"/>
    </row>
    <row r="57" spans="1:31" ht="18" customHeight="1" thickBot="1">
      <c r="A57" s="709"/>
      <c r="B57" s="710"/>
      <c r="C57" s="710"/>
      <c r="D57" s="710"/>
      <c r="E57" s="710"/>
      <c r="F57" s="710"/>
      <c r="G57" s="710"/>
      <c r="H57" s="788"/>
      <c r="I57" s="788"/>
      <c r="J57" s="788"/>
      <c r="K57" s="788"/>
      <c r="L57" s="788"/>
      <c r="M57" s="788"/>
      <c r="N57" s="788"/>
      <c r="O57" s="788"/>
      <c r="P57" s="788"/>
      <c r="Q57" s="788"/>
      <c r="R57" s="788"/>
      <c r="S57" s="788"/>
      <c r="T57" s="788"/>
      <c r="U57" s="788"/>
      <c r="V57" s="788"/>
      <c r="W57" s="788"/>
      <c r="X57" s="788"/>
      <c r="Y57" s="710"/>
      <c r="Z57" s="792"/>
      <c r="AA57" s="711"/>
      <c r="AB57" s="710"/>
      <c r="AC57" s="789"/>
      <c r="AD57" s="790"/>
      <c r="AE57" s="791"/>
    </row>
    <row r="58" spans="1:31" ht="7.5" customHeight="1" thickBo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row>
    <row r="59" spans="1:31">
      <c r="A59" s="35"/>
      <c r="B59" s="35"/>
      <c r="C59" s="35"/>
      <c r="D59" s="35"/>
      <c r="E59" s="35"/>
      <c r="F59" s="35"/>
      <c r="G59" s="35"/>
      <c r="H59" s="35"/>
      <c r="I59" s="35"/>
      <c r="J59" s="35"/>
      <c r="K59" s="35"/>
      <c r="L59" s="495" t="str">
        <f>VLOOKUP("signature",Translations!$A:$T,MATCH(PSW!AO7,Translations!A1:P1,0),0)</f>
        <v>SIGNATURE</v>
      </c>
      <c r="M59" s="496"/>
      <c r="N59" s="496"/>
      <c r="O59" s="496"/>
      <c r="P59" s="496"/>
      <c r="Q59" s="496"/>
      <c r="R59" s="496"/>
      <c r="S59" s="496"/>
      <c r="T59" s="497"/>
      <c r="U59" s="498" t="str">
        <f>VLOOKUP("title1",Translations!$A:$T,MATCH(PSW!AO7,Translations!A1:P1,0),0)</f>
        <v>TITLE</v>
      </c>
      <c r="V59" s="496"/>
      <c r="W59" s="496"/>
      <c r="X59" s="496"/>
      <c r="Y59" s="496"/>
      <c r="Z59" s="496"/>
      <c r="AA59" s="496"/>
      <c r="AB59" s="497"/>
      <c r="AC59" s="498" t="str">
        <f>VLOOKUP("date1",Translations!$A:$T,MATCH(PSW!AO7,Translations!A1:P1,0),0)</f>
        <v>DATE</v>
      </c>
      <c r="AD59" s="496"/>
      <c r="AE59" s="499"/>
    </row>
    <row r="60" spans="1:31" ht="18.75" customHeight="1">
      <c r="A60" s="35"/>
      <c r="B60" s="35"/>
      <c r="C60" s="35"/>
      <c r="D60" s="35"/>
      <c r="E60" s="35"/>
      <c r="F60" s="35"/>
      <c r="G60" s="35"/>
      <c r="H60" s="35"/>
      <c r="I60" s="35"/>
      <c r="J60" s="35"/>
      <c r="K60" s="35"/>
      <c r="L60" s="772"/>
      <c r="M60" s="751"/>
      <c r="N60" s="751"/>
      <c r="O60" s="751"/>
      <c r="P60" s="751"/>
      <c r="Q60" s="751"/>
      <c r="R60" s="751"/>
      <c r="S60" s="751"/>
      <c r="T60" s="769"/>
      <c r="U60" s="768"/>
      <c r="V60" s="751"/>
      <c r="W60" s="751"/>
      <c r="X60" s="751"/>
      <c r="Y60" s="751"/>
      <c r="Z60" s="751"/>
      <c r="AA60" s="751"/>
      <c r="AB60" s="769"/>
      <c r="AC60" s="768"/>
      <c r="AD60" s="751"/>
      <c r="AE60" s="752"/>
    </row>
    <row r="61" spans="1:31" ht="24" customHeight="1" thickBot="1">
      <c r="A61" s="35"/>
      <c r="B61" s="35"/>
      <c r="C61" s="35"/>
      <c r="D61" s="35"/>
      <c r="E61" s="35"/>
      <c r="F61" s="35"/>
      <c r="G61" s="35"/>
      <c r="H61" s="35"/>
      <c r="I61" s="35"/>
      <c r="J61" s="35"/>
      <c r="K61" s="35"/>
      <c r="L61" s="773"/>
      <c r="M61" s="746"/>
      <c r="N61" s="746"/>
      <c r="O61" s="746"/>
      <c r="P61" s="746"/>
      <c r="Q61" s="746"/>
      <c r="R61" s="746"/>
      <c r="S61" s="746"/>
      <c r="T61" s="771"/>
      <c r="U61" s="770"/>
      <c r="V61" s="746"/>
      <c r="W61" s="746"/>
      <c r="X61" s="746"/>
      <c r="Y61" s="746"/>
      <c r="Z61" s="746"/>
      <c r="AA61" s="746"/>
      <c r="AB61" s="771"/>
      <c r="AC61" s="770"/>
      <c r="AD61" s="746"/>
      <c r="AE61" s="747"/>
    </row>
  </sheetData>
  <sheetProtection password="8A5F" sheet="1" scenarios="1" formatCells="0" formatColumns="0" formatRows="0" insertColumns="0" insertRows="0" deleteColumns="0" deleteRows="0" selectLockedCells="1"/>
  <mergeCells count="401">
    <mergeCell ref="AA57:AB57"/>
    <mergeCell ref="AC37:AE37"/>
    <mergeCell ref="AC38:AE38"/>
    <mergeCell ref="AA29:AB29"/>
    <mergeCell ref="AA33:AB33"/>
    <mergeCell ref="AA34:AB34"/>
    <mergeCell ref="AC39:AE39"/>
    <mergeCell ref="AC40:AE40"/>
    <mergeCell ref="AC41:AE41"/>
    <mergeCell ref="AC42:AE42"/>
    <mergeCell ref="AA41:AB41"/>
    <mergeCell ref="AA42:AB42"/>
    <mergeCell ref="P1:AD3"/>
    <mergeCell ref="AC57:AE57"/>
    <mergeCell ref="AC28:AE28"/>
    <mergeCell ref="AC29:AE29"/>
    <mergeCell ref="AC30:AE30"/>
    <mergeCell ref="AC31:AE31"/>
    <mergeCell ref="AC32:AE32"/>
    <mergeCell ref="AC33:AE33"/>
    <mergeCell ref="AC34:AE34"/>
    <mergeCell ref="AC35:AE35"/>
    <mergeCell ref="AC36:AE36"/>
    <mergeCell ref="AA51:AB51"/>
    <mergeCell ref="AA52:AB52"/>
    <mergeCell ref="AA53:AB53"/>
    <mergeCell ref="AA54:AB54"/>
    <mergeCell ref="AA55:AB55"/>
    <mergeCell ref="AA56:AB56"/>
    <mergeCell ref="Y57:Z57"/>
    <mergeCell ref="AA43:AB43"/>
    <mergeCell ref="AA44:AB44"/>
    <mergeCell ref="AA45:AB45"/>
    <mergeCell ref="AA40:AB40"/>
    <mergeCell ref="Y51:Z51"/>
    <mergeCell ref="Y52:Z52"/>
    <mergeCell ref="Y53:Z53"/>
    <mergeCell ref="Y54:Z54"/>
    <mergeCell ref="Y55:Z55"/>
    <mergeCell ref="AA48:AB48"/>
    <mergeCell ref="AA49:AB49"/>
    <mergeCell ref="AA50:AB50"/>
    <mergeCell ref="AA46:AB46"/>
    <mergeCell ref="Y56:Z56"/>
    <mergeCell ref="Y40:Z40"/>
    <mergeCell ref="Y41:Z41"/>
    <mergeCell ref="Y42:Z42"/>
    <mergeCell ref="Y43:Z43"/>
    <mergeCell ref="Y44:Z44"/>
    <mergeCell ref="Y45:Z45"/>
    <mergeCell ref="Y46:Z46"/>
    <mergeCell ref="Y47:Z47"/>
    <mergeCell ref="AA13:AB13"/>
    <mergeCell ref="AA14:AB14"/>
    <mergeCell ref="AA15:AB15"/>
    <mergeCell ref="AA16:AB16"/>
    <mergeCell ref="AA17:AB17"/>
    <mergeCell ref="AA18:AB18"/>
    <mergeCell ref="AA19:AB19"/>
    <mergeCell ref="AA20:AB20"/>
    <mergeCell ref="AC26:AE26"/>
    <mergeCell ref="AC21:AE21"/>
    <mergeCell ref="AC22:AE22"/>
    <mergeCell ref="AC23:AE23"/>
    <mergeCell ref="AC24:AE24"/>
    <mergeCell ref="AC25:AE25"/>
    <mergeCell ref="AA21:AB21"/>
    <mergeCell ref="AA22:AB22"/>
    <mergeCell ref="AA23:AB23"/>
    <mergeCell ref="AA24:AB24"/>
    <mergeCell ref="AA25:AB25"/>
    <mergeCell ref="AA26:AB26"/>
    <mergeCell ref="AA27:AB27"/>
    <mergeCell ref="AA28:AB28"/>
    <mergeCell ref="Y39:Z39"/>
    <mergeCell ref="Y30:Z30"/>
    <mergeCell ref="Y31:Z31"/>
    <mergeCell ref="Y32:Z32"/>
    <mergeCell ref="Y33:Z33"/>
    <mergeCell ref="Y34:Z34"/>
    <mergeCell ref="Y35:Z35"/>
    <mergeCell ref="Y36:Z36"/>
    <mergeCell ref="Y37:Z37"/>
    <mergeCell ref="Y38:Z38"/>
    <mergeCell ref="AA39:AB39"/>
    <mergeCell ref="AA35:AB35"/>
    <mergeCell ref="AA36:AB36"/>
    <mergeCell ref="AA37:AB37"/>
    <mergeCell ref="AA38:AB38"/>
    <mergeCell ref="Q55:X55"/>
    <mergeCell ref="Q56:X56"/>
    <mergeCell ref="Q57:X57"/>
    <mergeCell ref="H57:L57"/>
    <mergeCell ref="M57:N57"/>
    <mergeCell ref="O57:P57"/>
    <mergeCell ref="Y12:Z12"/>
    <mergeCell ref="Y13:Z13"/>
    <mergeCell ref="Y14:Z14"/>
    <mergeCell ref="Y15:Z15"/>
    <mergeCell ref="Y16:Z16"/>
    <mergeCell ref="Y17:Z17"/>
    <mergeCell ref="Y18:Z18"/>
    <mergeCell ref="Y19:Z19"/>
    <mergeCell ref="Y20:Z20"/>
    <mergeCell ref="Y21:Z21"/>
    <mergeCell ref="Y22:Z22"/>
    <mergeCell ref="Y23:Z23"/>
    <mergeCell ref="Y24:Z24"/>
    <mergeCell ref="Y25:Z25"/>
    <mergeCell ref="Y26:Z26"/>
    <mergeCell ref="Y27:Z27"/>
    <mergeCell ref="Q45:X45"/>
    <mergeCell ref="Q52:X52"/>
    <mergeCell ref="Q53:X53"/>
    <mergeCell ref="Q39:X39"/>
    <mergeCell ref="Q40:X40"/>
    <mergeCell ref="Q41:X41"/>
    <mergeCell ref="Q42:X42"/>
    <mergeCell ref="Q43:X43"/>
    <mergeCell ref="Q44:X44"/>
    <mergeCell ref="Q54:X54"/>
    <mergeCell ref="Q34:X34"/>
    <mergeCell ref="Q35:X35"/>
    <mergeCell ref="Q36:X36"/>
    <mergeCell ref="Q37:X37"/>
    <mergeCell ref="Q38:X38"/>
    <mergeCell ref="Q46:X46"/>
    <mergeCell ref="Q47:X47"/>
    <mergeCell ref="Q51:X51"/>
    <mergeCell ref="M54:N54"/>
    <mergeCell ref="M52:N52"/>
    <mergeCell ref="M53:N53"/>
    <mergeCell ref="M37:N37"/>
    <mergeCell ref="M38:N38"/>
    <mergeCell ref="M39:N39"/>
    <mergeCell ref="M40:N40"/>
    <mergeCell ref="M41:N41"/>
    <mergeCell ref="O45:P45"/>
    <mergeCell ref="O46:P46"/>
    <mergeCell ref="O43:P43"/>
    <mergeCell ref="O44:P44"/>
    <mergeCell ref="M43:N43"/>
    <mergeCell ref="M44:N44"/>
    <mergeCell ref="O39:P39"/>
    <mergeCell ref="O40:P40"/>
    <mergeCell ref="O41:P41"/>
    <mergeCell ref="O42:P42"/>
    <mergeCell ref="M42:N42"/>
    <mergeCell ref="M56:N56"/>
    <mergeCell ref="Q12:X12"/>
    <mergeCell ref="Q13:X13"/>
    <mergeCell ref="Q14:X14"/>
    <mergeCell ref="Q15:X15"/>
    <mergeCell ref="Q16:X16"/>
    <mergeCell ref="Q17:X17"/>
    <mergeCell ref="Q18:X18"/>
    <mergeCell ref="Q19:X19"/>
    <mergeCell ref="Q20:X20"/>
    <mergeCell ref="Q21:X21"/>
    <mergeCell ref="Q22:X22"/>
    <mergeCell ref="Q23:X23"/>
    <mergeCell ref="Q24:X24"/>
    <mergeCell ref="Q25:X25"/>
    <mergeCell ref="Q26:X26"/>
    <mergeCell ref="Q27:X27"/>
    <mergeCell ref="Q28:X28"/>
    <mergeCell ref="Q29:X29"/>
    <mergeCell ref="Q30:X30"/>
    <mergeCell ref="M45:N45"/>
    <mergeCell ref="M50:N50"/>
    <mergeCell ref="M51:N51"/>
    <mergeCell ref="Q33:X33"/>
    <mergeCell ref="H56:L56"/>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M26:N26"/>
    <mergeCell ref="M27:N27"/>
    <mergeCell ref="M28:N28"/>
    <mergeCell ref="M29:N29"/>
    <mergeCell ref="M30:N30"/>
    <mergeCell ref="M31:N31"/>
    <mergeCell ref="M32:N32"/>
    <mergeCell ref="H42:L42"/>
    <mergeCell ref="M55:N55"/>
    <mergeCell ref="A53:G53"/>
    <mergeCell ref="A54:G54"/>
    <mergeCell ref="A55:G55"/>
    <mergeCell ref="A56:G56"/>
    <mergeCell ref="A57:G57"/>
    <mergeCell ref="H12:L12"/>
    <mergeCell ref="H13:L13"/>
    <mergeCell ref="H14:L14"/>
    <mergeCell ref="H15:L15"/>
    <mergeCell ref="H16:L16"/>
    <mergeCell ref="H17:L17"/>
    <mergeCell ref="H18:L18"/>
    <mergeCell ref="H19:L19"/>
    <mergeCell ref="H20:L20"/>
    <mergeCell ref="H21:L21"/>
    <mergeCell ref="H22:L22"/>
    <mergeCell ref="H23:L23"/>
    <mergeCell ref="H24:L24"/>
    <mergeCell ref="H25:L25"/>
    <mergeCell ref="H26:L26"/>
    <mergeCell ref="H39:L39"/>
    <mergeCell ref="H40:L40"/>
    <mergeCell ref="H41:L41"/>
    <mergeCell ref="A42:G42"/>
    <mergeCell ref="A51:G51"/>
    <mergeCell ref="A52:G52"/>
    <mergeCell ref="A35:G35"/>
    <mergeCell ref="A36:G36"/>
    <mergeCell ref="A37:G37"/>
    <mergeCell ref="A38:G38"/>
    <mergeCell ref="A39:G39"/>
    <mergeCell ref="A40:G40"/>
    <mergeCell ref="A41:G41"/>
    <mergeCell ref="A48:G48"/>
    <mergeCell ref="A49:G49"/>
    <mergeCell ref="A43:G43"/>
    <mergeCell ref="A44:G44"/>
    <mergeCell ref="A45:G45"/>
    <mergeCell ref="A46:G46"/>
    <mergeCell ref="A47:G47"/>
    <mergeCell ref="A50:G50"/>
    <mergeCell ref="H43:L43"/>
    <mergeCell ref="H44:L44"/>
    <mergeCell ref="H45:L45"/>
    <mergeCell ref="Q48:X48"/>
    <mergeCell ref="Q49:X49"/>
    <mergeCell ref="Q50:X50"/>
    <mergeCell ref="AA47:AB47"/>
    <mergeCell ref="AC59:AE59"/>
    <mergeCell ref="AC51:AE51"/>
    <mergeCell ref="AC52:AE52"/>
    <mergeCell ref="AC53:AE53"/>
    <mergeCell ref="AC54:AE54"/>
    <mergeCell ref="AC43:AE43"/>
    <mergeCell ref="AC44:AE44"/>
    <mergeCell ref="AC45:AE45"/>
    <mergeCell ref="AC55:AE55"/>
    <mergeCell ref="AC56:AE56"/>
    <mergeCell ref="H46:L46"/>
    <mergeCell ref="H47:L47"/>
    <mergeCell ref="M46:N46"/>
    <mergeCell ref="M47:N47"/>
    <mergeCell ref="M48:N48"/>
    <mergeCell ref="M49:N49"/>
    <mergeCell ref="H55:L55"/>
    <mergeCell ref="AC60:AE61"/>
    <mergeCell ref="A10:G11"/>
    <mergeCell ref="H10:L11"/>
    <mergeCell ref="M10:N11"/>
    <mergeCell ref="O10:P11"/>
    <mergeCell ref="Q10:X11"/>
    <mergeCell ref="Y10:AB10"/>
    <mergeCell ref="Y11:Z11"/>
    <mergeCell ref="AA11:AB11"/>
    <mergeCell ref="AC10:AE11"/>
    <mergeCell ref="A12:G12"/>
    <mergeCell ref="A13:G13"/>
    <mergeCell ref="A14:G14"/>
    <mergeCell ref="A15:G15"/>
    <mergeCell ref="A16:G16"/>
    <mergeCell ref="A17:G17"/>
    <mergeCell ref="A18:G18"/>
    <mergeCell ref="A19:G19"/>
    <mergeCell ref="AC46:AE46"/>
    <mergeCell ref="AC47:AE47"/>
    <mergeCell ref="AC48:AE48"/>
    <mergeCell ref="AC49:AE49"/>
    <mergeCell ref="AC50:AE50"/>
    <mergeCell ref="A32:G32"/>
    <mergeCell ref="U60:AB61"/>
    <mergeCell ref="H48:L48"/>
    <mergeCell ref="H49:L49"/>
    <mergeCell ref="H50:L50"/>
    <mergeCell ref="H51:L51"/>
    <mergeCell ref="H52:L52"/>
    <mergeCell ref="H53:L53"/>
    <mergeCell ref="H54:L54"/>
    <mergeCell ref="O47:P47"/>
    <mergeCell ref="O48:P48"/>
    <mergeCell ref="L60:T61"/>
    <mergeCell ref="O53:P53"/>
    <mergeCell ref="O54:P54"/>
    <mergeCell ref="O55:P55"/>
    <mergeCell ref="O56:P56"/>
    <mergeCell ref="L59:T59"/>
    <mergeCell ref="O51:P51"/>
    <mergeCell ref="O52:P52"/>
    <mergeCell ref="O49:P49"/>
    <mergeCell ref="O50:P50"/>
    <mergeCell ref="U59:AB59"/>
    <mergeCell ref="Y48:Z48"/>
    <mergeCell ref="Y49:Z49"/>
    <mergeCell ref="Y50:Z50"/>
    <mergeCell ref="A33:G33"/>
    <mergeCell ref="A34:G34"/>
    <mergeCell ref="O37:P37"/>
    <mergeCell ref="O38:P38"/>
    <mergeCell ref="O35:P35"/>
    <mergeCell ref="O36:P36"/>
    <mergeCell ref="M35:N35"/>
    <mergeCell ref="M36:N36"/>
    <mergeCell ref="O33:P33"/>
    <mergeCell ref="O34:P34"/>
    <mergeCell ref="M33:N33"/>
    <mergeCell ref="M34:N34"/>
    <mergeCell ref="H33:L33"/>
    <mergeCell ref="H34:L34"/>
    <mergeCell ref="H35:L35"/>
    <mergeCell ref="H36:L36"/>
    <mergeCell ref="H37:L37"/>
    <mergeCell ref="H38:L38"/>
    <mergeCell ref="AC27:AE27"/>
    <mergeCell ref="O23:P23"/>
    <mergeCell ref="O24:P24"/>
    <mergeCell ref="A23:G23"/>
    <mergeCell ref="A24:G24"/>
    <mergeCell ref="O27:P27"/>
    <mergeCell ref="O31:P31"/>
    <mergeCell ref="O32:P32"/>
    <mergeCell ref="O29:P29"/>
    <mergeCell ref="O30:P30"/>
    <mergeCell ref="A29:G29"/>
    <mergeCell ref="A30:G30"/>
    <mergeCell ref="A31:G31"/>
    <mergeCell ref="H30:L30"/>
    <mergeCell ref="H31:L31"/>
    <mergeCell ref="H32:L32"/>
    <mergeCell ref="Q31:X31"/>
    <mergeCell ref="Q32:X32"/>
    <mergeCell ref="AA30:AB30"/>
    <mergeCell ref="AA31:AB31"/>
    <mergeCell ref="AA32:AB32"/>
    <mergeCell ref="O28:P28"/>
    <mergeCell ref="A27:G27"/>
    <mergeCell ref="A28:G28"/>
    <mergeCell ref="H27:L27"/>
    <mergeCell ref="H28:L28"/>
    <mergeCell ref="H29:L29"/>
    <mergeCell ref="Y28:Z28"/>
    <mergeCell ref="Y29:Z29"/>
    <mergeCell ref="O21:P21"/>
    <mergeCell ref="O22:P22"/>
    <mergeCell ref="A21:G21"/>
    <mergeCell ref="A22:G22"/>
    <mergeCell ref="O25:P25"/>
    <mergeCell ref="O26:P26"/>
    <mergeCell ref="A25:G25"/>
    <mergeCell ref="A26:G26"/>
    <mergeCell ref="O20:P20"/>
    <mergeCell ref="A20:G20"/>
    <mergeCell ref="O18:P18"/>
    <mergeCell ref="O19:P19"/>
    <mergeCell ref="O16:P16"/>
    <mergeCell ref="O17:P17"/>
    <mergeCell ref="O14:P14"/>
    <mergeCell ref="O15:P15"/>
    <mergeCell ref="R7:AE7"/>
    <mergeCell ref="R8:AE8"/>
    <mergeCell ref="R9:AE9"/>
    <mergeCell ref="A8:Q9"/>
    <mergeCell ref="O12:P12"/>
    <mergeCell ref="O13:P13"/>
    <mergeCell ref="AC17:AE17"/>
    <mergeCell ref="AC18:AE18"/>
    <mergeCell ref="AC19:AE19"/>
    <mergeCell ref="AC20:AE20"/>
    <mergeCell ref="AC12:AE12"/>
    <mergeCell ref="AC13:AE13"/>
    <mergeCell ref="AC14:AE14"/>
    <mergeCell ref="AC15:AE15"/>
    <mergeCell ref="AC16:AE16"/>
    <mergeCell ref="AA12:AB12"/>
    <mergeCell ref="H6:Q6"/>
    <mergeCell ref="H5:Q5"/>
    <mergeCell ref="A4:D4"/>
    <mergeCell ref="A5:G5"/>
    <mergeCell ref="A6:G6"/>
    <mergeCell ref="A7:M7"/>
    <mergeCell ref="R4:U4"/>
    <mergeCell ref="R5:V5"/>
    <mergeCell ref="R6:AE6"/>
    <mergeCell ref="E4:Q4"/>
    <mergeCell ref="N7:Q7"/>
    <mergeCell ref="V4:AE4"/>
    <mergeCell ref="W5:AE5"/>
  </mergeCells>
  <printOptions horizontalCentered="1"/>
  <pageMargins left="0.6692913385826772" right="0.59055118110236227" top="0.9055118110236221" bottom="0.6692913385826772" header="0.31496062992125984" footer="0.31496062992125984"/>
  <pageSetup paperSize="9" scale="70" orientation="portrait" r:id="rId1"/>
  <headerFooter>
    <oddHeader>&amp;R&amp;G</oddHeader>
    <oddFooter>&amp;LMHG-PU-F-0018&amp;CPPAP Template ; Rev.: 01/2019&amp;RJ.-U. Liedtke / PU-SD-GA</oddFooter>
  </headerFooter>
  <ignoredErrors>
    <ignoredError sqref="R9 R7 W5 V4 H5"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BU42"/>
  <sheetViews>
    <sheetView showGridLines="0" zoomScaleNormal="100" workbookViewId="0">
      <selection activeCell="D25" sqref="D25:K25"/>
    </sheetView>
  </sheetViews>
  <sheetFormatPr baseColWidth="10" defaultColWidth="9.140625" defaultRowHeight="12.75"/>
  <cols>
    <col min="1" max="1" width="5.42578125" customWidth="1"/>
    <col min="2" max="2" width="3.28515625" customWidth="1"/>
    <col min="3" max="6" width="3.42578125" customWidth="1"/>
    <col min="7" max="7" width="6.28515625" customWidth="1"/>
    <col min="8" max="8" width="3.140625" customWidth="1"/>
    <col min="9" max="9" width="2.140625" customWidth="1"/>
    <col min="10" max="11" width="3.42578125" customWidth="1"/>
    <col min="12" max="12" width="2.7109375" customWidth="1"/>
    <col min="13" max="13" width="3.42578125" customWidth="1"/>
    <col min="14" max="14" width="3.140625" customWidth="1"/>
    <col min="15" max="15" width="3.42578125" customWidth="1"/>
    <col min="16" max="16" width="4" customWidth="1"/>
    <col min="17" max="17" width="3.5703125" customWidth="1"/>
    <col min="18" max="18" width="6" customWidth="1"/>
    <col min="19" max="19" width="4.42578125" customWidth="1"/>
    <col min="20" max="20" width="3.85546875" customWidth="1"/>
    <col min="21" max="21" width="2.7109375" customWidth="1"/>
    <col min="22" max="22" width="3.42578125" customWidth="1"/>
    <col min="23" max="23" width="4.7109375" customWidth="1"/>
    <col min="24" max="25" width="3.42578125" customWidth="1"/>
    <col min="26" max="26" width="1.7109375" customWidth="1"/>
    <col min="27" max="27" width="3.42578125" customWidth="1"/>
    <col min="28" max="28" width="3" customWidth="1"/>
    <col min="29" max="29" width="3.42578125" customWidth="1"/>
    <col min="30" max="30" width="6.28515625" customWidth="1"/>
    <col min="31" max="31" width="5" customWidth="1"/>
    <col min="32" max="32" width="4.7109375" customWidth="1"/>
    <col min="33" max="33" width="9.7109375" customWidth="1"/>
    <col min="34" max="73" width="9.140625" style="32"/>
  </cols>
  <sheetData>
    <row r="1" spans="1:41" ht="12.75" customHeight="1">
      <c r="A1" s="2"/>
      <c r="B1" s="2"/>
      <c r="C1" s="2"/>
      <c r="D1" s="2"/>
      <c r="E1" s="2"/>
      <c r="F1" s="2"/>
      <c r="G1" s="2"/>
      <c r="H1" s="2"/>
      <c r="I1" s="2"/>
      <c r="J1" s="2"/>
      <c r="K1" s="2"/>
      <c r="L1" s="2"/>
      <c r="M1" s="2"/>
      <c r="N1" s="2"/>
      <c r="O1" s="2"/>
      <c r="P1" s="690" t="str">
        <f>VLOOKUP("ppapfmea",Translations!$A:$T,MATCH(PSW!AO7,Translations!A1:P1,0),0)</f>
        <v>Production Part Approval
Process FMEA</v>
      </c>
      <c r="Q1" s="690"/>
      <c r="R1" s="690"/>
      <c r="S1" s="690"/>
      <c r="T1" s="690"/>
      <c r="U1" s="690"/>
      <c r="V1" s="690"/>
      <c r="W1" s="690"/>
      <c r="X1" s="690"/>
      <c r="Y1" s="690"/>
      <c r="Z1" s="690"/>
      <c r="AA1" s="690"/>
      <c r="AB1" s="690"/>
      <c r="AC1" s="690"/>
      <c r="AD1" s="690"/>
      <c r="AE1" s="690"/>
      <c r="AF1" s="690"/>
      <c r="AG1" s="114"/>
    </row>
    <row r="2" spans="1:41" ht="12.75" customHeight="1">
      <c r="A2" s="2"/>
      <c r="B2" s="2"/>
      <c r="C2" s="2"/>
      <c r="D2" s="2"/>
      <c r="E2" s="2"/>
      <c r="F2" s="2"/>
      <c r="G2" s="2"/>
      <c r="H2" s="2"/>
      <c r="I2" s="2"/>
      <c r="J2" s="2"/>
      <c r="K2" s="2"/>
      <c r="L2" s="2"/>
      <c r="M2" s="2"/>
      <c r="N2" s="2"/>
      <c r="O2" s="2"/>
      <c r="P2" s="690"/>
      <c r="Q2" s="690"/>
      <c r="R2" s="690"/>
      <c r="S2" s="690"/>
      <c r="T2" s="690"/>
      <c r="U2" s="690"/>
      <c r="V2" s="690"/>
      <c r="W2" s="690"/>
      <c r="X2" s="690"/>
      <c r="Y2" s="690"/>
      <c r="Z2" s="690"/>
      <c r="AA2" s="690"/>
      <c r="AB2" s="690"/>
      <c r="AC2" s="690"/>
      <c r="AD2" s="690"/>
      <c r="AE2" s="690"/>
      <c r="AF2" s="690"/>
      <c r="AG2" s="114"/>
    </row>
    <row r="3" spans="1:41" ht="13.5" customHeight="1" thickBot="1">
      <c r="A3" s="4"/>
      <c r="B3" s="4"/>
      <c r="C3" s="4"/>
      <c r="D3" s="4"/>
      <c r="E3" s="4"/>
      <c r="F3" s="4"/>
      <c r="G3" s="4"/>
      <c r="H3" s="4"/>
      <c r="I3" s="4"/>
      <c r="J3" s="4"/>
      <c r="K3" s="4"/>
      <c r="L3" s="4"/>
      <c r="M3" s="4"/>
      <c r="N3" s="4"/>
      <c r="O3" s="4"/>
      <c r="P3" s="691"/>
      <c r="Q3" s="691"/>
      <c r="R3" s="691"/>
      <c r="S3" s="691"/>
      <c r="T3" s="691"/>
      <c r="U3" s="691"/>
      <c r="V3" s="691"/>
      <c r="W3" s="691"/>
      <c r="X3" s="691"/>
      <c r="Y3" s="691"/>
      <c r="Z3" s="691"/>
      <c r="AA3" s="691"/>
      <c r="AB3" s="691"/>
      <c r="AC3" s="691"/>
      <c r="AD3" s="691"/>
      <c r="AE3" s="691"/>
      <c r="AF3" s="691"/>
      <c r="AG3" s="115"/>
    </row>
    <row r="4" spans="1:41" ht="13.5" customHeight="1">
      <c r="A4" s="679" t="str">
        <f>'MAT Test'!A4</f>
        <v>ORGANIZATION:</v>
      </c>
      <c r="B4" s="680"/>
      <c r="C4" s="680"/>
      <c r="D4" s="680"/>
      <c r="E4" s="607" t="str">
        <f>'DIM Test'!E4</f>
        <v>?</v>
      </c>
      <c r="F4" s="607"/>
      <c r="G4" s="607"/>
      <c r="H4" s="607"/>
      <c r="I4" s="607"/>
      <c r="J4" s="607"/>
      <c r="K4" s="607"/>
      <c r="L4" s="607"/>
      <c r="M4" s="607"/>
      <c r="N4" s="607"/>
      <c r="O4" s="607"/>
      <c r="P4" s="607"/>
      <c r="Q4" s="607"/>
      <c r="R4" s="608"/>
      <c r="S4" s="679" t="str">
        <f>'MAT Test'!R4</f>
        <v>PART NUMBER:</v>
      </c>
      <c r="T4" s="680"/>
      <c r="U4" s="680"/>
      <c r="V4" s="680"/>
      <c r="W4" s="680"/>
      <c r="X4" s="607" t="str">
        <f>'DIM Test'!X4</f>
        <v>?</v>
      </c>
      <c r="Y4" s="607"/>
      <c r="Z4" s="607"/>
      <c r="AA4" s="607"/>
      <c r="AB4" s="607"/>
      <c r="AC4" s="607"/>
      <c r="AD4" s="607"/>
      <c r="AE4" s="607"/>
      <c r="AF4" s="607"/>
      <c r="AG4" s="608"/>
    </row>
    <row r="5" spans="1:41" ht="13.5" thickBot="1">
      <c r="A5" s="722" t="str">
        <f>'MAT Test'!A5</f>
        <v>SUPPLIER / VENDOR CODE:</v>
      </c>
      <c r="B5" s="723"/>
      <c r="C5" s="723"/>
      <c r="D5" s="723"/>
      <c r="E5" s="723"/>
      <c r="F5" s="723"/>
      <c r="G5" s="723"/>
      <c r="H5" s="712" t="str">
        <f>'DIM Test'!I5</f>
        <v>?</v>
      </c>
      <c r="I5" s="712"/>
      <c r="J5" s="712"/>
      <c r="K5" s="712"/>
      <c r="L5" s="712"/>
      <c r="M5" s="712"/>
      <c r="N5" s="712"/>
      <c r="O5" s="712"/>
      <c r="P5" s="712"/>
      <c r="Q5" s="712"/>
      <c r="R5" s="713"/>
      <c r="S5" s="725" t="str">
        <f>'MAT Test'!R5</f>
        <v>PART NAME:</v>
      </c>
      <c r="T5" s="726"/>
      <c r="U5" s="726"/>
      <c r="V5" s="726"/>
      <c r="W5" s="726"/>
      <c r="X5" s="726"/>
      <c r="Y5" s="609" t="str">
        <f>'DIM Test'!Y5</f>
        <v>?</v>
      </c>
      <c r="Z5" s="609"/>
      <c r="AA5" s="609"/>
      <c r="AB5" s="609"/>
      <c r="AC5" s="609"/>
      <c r="AD5" s="609"/>
      <c r="AE5" s="609"/>
      <c r="AF5" s="609"/>
      <c r="AG5" s="610"/>
    </row>
    <row r="6" spans="1:41" ht="13.5" customHeight="1">
      <c r="A6" s="858"/>
      <c r="B6" s="859"/>
      <c r="C6" s="859"/>
      <c r="D6" s="859"/>
      <c r="E6" s="859"/>
      <c r="F6" s="859"/>
      <c r="G6" s="859"/>
      <c r="H6" s="859"/>
      <c r="I6" s="859"/>
      <c r="J6" s="859"/>
      <c r="K6" s="859"/>
      <c r="L6" s="859"/>
      <c r="M6" s="859"/>
      <c r="N6" s="859"/>
      <c r="O6" s="859"/>
      <c r="P6" s="859"/>
      <c r="Q6" s="859"/>
      <c r="R6" s="860"/>
      <c r="S6" s="725" t="str">
        <f>'MAT Test'!R6</f>
        <v>DESIGN RECORD CHANGE LEVEL:</v>
      </c>
      <c r="T6" s="726"/>
      <c r="U6" s="726"/>
      <c r="V6" s="726"/>
      <c r="W6" s="726"/>
      <c r="X6" s="726"/>
      <c r="Y6" s="726"/>
      <c r="Z6" s="726"/>
      <c r="AA6" s="726"/>
      <c r="AB6" s="726"/>
      <c r="AC6" s="726"/>
      <c r="AD6" s="726"/>
      <c r="AE6" s="726"/>
      <c r="AF6" s="726"/>
      <c r="AG6" s="727"/>
    </row>
    <row r="7" spans="1:41" ht="13.5" customHeight="1">
      <c r="A7" s="861"/>
      <c r="B7" s="862"/>
      <c r="C7" s="862"/>
      <c r="D7" s="862"/>
      <c r="E7" s="862"/>
      <c r="F7" s="862"/>
      <c r="G7" s="862"/>
      <c r="H7" s="862"/>
      <c r="I7" s="862"/>
      <c r="J7" s="862"/>
      <c r="K7" s="862"/>
      <c r="L7" s="862"/>
      <c r="M7" s="862"/>
      <c r="N7" s="862"/>
      <c r="O7" s="862"/>
      <c r="P7" s="862"/>
      <c r="Q7" s="862"/>
      <c r="R7" s="863"/>
      <c r="S7" s="565" t="str">
        <f>'DIM Test'!S7</f>
        <v>?</v>
      </c>
      <c r="T7" s="599"/>
      <c r="U7" s="599"/>
      <c r="V7" s="599"/>
      <c r="W7" s="599"/>
      <c r="X7" s="599"/>
      <c r="Y7" s="599"/>
      <c r="Z7" s="599"/>
      <c r="AA7" s="599"/>
      <c r="AB7" s="599"/>
      <c r="AC7" s="599"/>
      <c r="AD7" s="599"/>
      <c r="AE7" s="599"/>
      <c r="AF7" s="599"/>
      <c r="AG7" s="600"/>
    </row>
    <row r="8" spans="1:41" ht="13.5" customHeight="1">
      <c r="A8" s="861"/>
      <c r="B8" s="862"/>
      <c r="C8" s="862"/>
      <c r="D8" s="862"/>
      <c r="E8" s="862"/>
      <c r="F8" s="862"/>
      <c r="G8" s="862"/>
      <c r="H8" s="862"/>
      <c r="I8" s="862"/>
      <c r="J8" s="862"/>
      <c r="K8" s="862"/>
      <c r="L8" s="862"/>
      <c r="M8" s="862"/>
      <c r="N8" s="862"/>
      <c r="O8" s="862"/>
      <c r="P8" s="862"/>
      <c r="Q8" s="862"/>
      <c r="R8" s="863"/>
      <c r="S8" s="725" t="str">
        <f>'MAT Test'!R8</f>
        <v>ENGINEERING CHANGE DOCUMENTS:</v>
      </c>
      <c r="T8" s="726"/>
      <c r="U8" s="726"/>
      <c r="V8" s="726"/>
      <c r="W8" s="726"/>
      <c r="X8" s="726"/>
      <c r="Y8" s="726"/>
      <c r="Z8" s="726"/>
      <c r="AA8" s="726"/>
      <c r="AB8" s="726"/>
      <c r="AC8" s="726"/>
      <c r="AD8" s="726"/>
      <c r="AE8" s="726"/>
      <c r="AF8" s="726"/>
      <c r="AG8" s="727"/>
    </row>
    <row r="9" spans="1:41" ht="13.5" thickBot="1">
      <c r="A9" s="864"/>
      <c r="B9" s="865"/>
      <c r="C9" s="865"/>
      <c r="D9" s="865"/>
      <c r="E9" s="865"/>
      <c r="F9" s="865"/>
      <c r="G9" s="865"/>
      <c r="H9" s="865"/>
      <c r="I9" s="865"/>
      <c r="J9" s="865"/>
      <c r="K9" s="865"/>
      <c r="L9" s="865"/>
      <c r="M9" s="865"/>
      <c r="N9" s="865"/>
      <c r="O9" s="865"/>
      <c r="P9" s="865"/>
      <c r="Q9" s="865"/>
      <c r="R9" s="866"/>
      <c r="S9" s="566" t="str">
        <f>'DIM Test'!S9</f>
        <v>?</v>
      </c>
      <c r="T9" s="867"/>
      <c r="U9" s="867"/>
      <c r="V9" s="867"/>
      <c r="W9" s="867"/>
      <c r="X9" s="867"/>
      <c r="Y9" s="867"/>
      <c r="Z9" s="867"/>
      <c r="AA9" s="867"/>
      <c r="AB9" s="867"/>
      <c r="AC9" s="867"/>
      <c r="AD9" s="867"/>
      <c r="AE9" s="867"/>
      <c r="AF9" s="867"/>
      <c r="AG9" s="868"/>
      <c r="AH9" s="92"/>
      <c r="AI9" s="92"/>
      <c r="AJ9" s="92"/>
      <c r="AK9" s="92"/>
      <c r="AL9" s="92"/>
    </row>
    <row r="10" spans="1:41" ht="9" customHeight="1" thickBot="1">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I10" s="93"/>
      <c r="AJ10" s="94"/>
      <c r="AL10" s="94"/>
      <c r="AM10" s="95"/>
      <c r="AN10" s="94"/>
      <c r="AO10" s="94"/>
    </row>
    <row r="11" spans="1:41" ht="18.75" customHeight="1" thickBot="1">
      <c r="A11" s="808" t="str">
        <f>VLOOKUP("checklistpfmea",Translations!$A:$T,MATCH(PSW!AO7,Translations!A1:P1,0),0)</f>
        <v>Checklist / general questions to the P-FMEA</v>
      </c>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c r="AA11" s="808"/>
      <c r="AB11" s="808"/>
      <c r="AC11" s="808"/>
      <c r="AD11" s="809"/>
      <c r="AE11" s="823" t="str">
        <f>VLOOKUP("yes",Translations!$A:$T,MATCH(PSW!AO7,Translations!A1:P1,0),0)</f>
        <v>Yes</v>
      </c>
      <c r="AF11" s="824"/>
      <c r="AG11" s="76" t="str">
        <f>VLOOKUP("no",Translations!$A:$T,MATCH(PSW!AO7,Translations!A1:P1,0),0)</f>
        <v>No</v>
      </c>
      <c r="AH11" s="5"/>
      <c r="AI11" s="96"/>
      <c r="AM11" s="95"/>
    </row>
    <row r="12" spans="1:41" ht="31.5" customHeight="1">
      <c r="A12" s="810" t="str">
        <f>VLOOKUP("pfmeavorhanden",Translations!$A:$T,MATCH(PSW!AO7,Translations!A1:P1,0),0)</f>
        <v>Is a P-FMEA available for the latest drawing?</v>
      </c>
      <c r="B12" s="811"/>
      <c r="C12" s="811"/>
      <c r="D12" s="811"/>
      <c r="E12" s="811"/>
      <c r="F12" s="811"/>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812"/>
      <c r="AE12" s="798"/>
      <c r="AF12" s="799"/>
      <c r="AG12" s="433"/>
      <c r="AH12" s="101"/>
      <c r="AI12" s="96"/>
    </row>
    <row r="13" spans="1:41" ht="31.5" customHeight="1">
      <c r="A13" s="813" t="str">
        <f>VLOOKUP("pfmeavorgaben",Translations!$A:$T,MATCH(PSW!AO7,Translations!A1:P1,0),0)</f>
        <v>Was the P-FMEA done according to the requirements from FORD/GM/Chrysler or VDA?</v>
      </c>
      <c r="B13" s="814"/>
      <c r="C13" s="814"/>
      <c r="D13" s="814"/>
      <c r="E13" s="814"/>
      <c r="F13" s="814"/>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5"/>
      <c r="AE13" s="798"/>
      <c r="AF13" s="799"/>
      <c r="AG13" s="433"/>
      <c r="AH13" s="101"/>
      <c r="AI13" s="96"/>
    </row>
    <row r="14" spans="1:41" ht="31.5" customHeight="1">
      <c r="A14" s="813" t="str">
        <f>VLOOKUP("pfmeateam",Translations!$A:$T,MATCH(PSW!AO7,Translations!A1:P1,0),0)</f>
        <v>Has a cross-functional FMEA team been formed to do the P-FMEA?</v>
      </c>
      <c r="B14" s="814"/>
      <c r="C14" s="814"/>
      <c r="D14" s="814"/>
      <c r="E14" s="814"/>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5"/>
      <c r="AE14" s="798"/>
      <c r="AF14" s="799"/>
      <c r="AG14" s="433"/>
      <c r="AH14" s="101"/>
      <c r="AI14" s="96"/>
    </row>
    <row r="15" spans="1:41" ht="31.5" customHeight="1">
      <c r="A15" s="813" t="str">
        <f>VLOOKUP("mhinput",Translations!$A:$T,MATCH(PSW!AO7,Translations!A1:P1,0),0)</f>
        <v>MANN+HUMMEL input / severity and Special Characteristics identification has been used (e.g. from drawings and PRFPP)?</v>
      </c>
      <c r="B15" s="814"/>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14"/>
      <c r="AA15" s="814"/>
      <c r="AB15" s="814"/>
      <c r="AC15" s="814"/>
      <c r="AD15" s="815"/>
      <c r="AE15" s="798"/>
      <c r="AF15" s="799"/>
      <c r="AG15" s="433"/>
      <c r="AH15" s="101"/>
      <c r="AI15" s="96"/>
    </row>
    <row r="16" spans="1:41" ht="31.5" customHeight="1">
      <c r="A16" s="813" t="str">
        <f>VLOOKUP("höhererpzwerte",Translations!$A:$T,MATCH(PSW!AO7,Translations!A1:P1,0),0)</f>
        <v>Were actions planned and implemented for higher RPN values?</v>
      </c>
      <c r="B16" s="814"/>
      <c r="C16" s="814"/>
      <c r="D16" s="814"/>
      <c r="E16" s="814"/>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5"/>
      <c r="AE16" s="798"/>
      <c r="AF16" s="799"/>
      <c r="AG16" s="433"/>
      <c r="AH16" s="101"/>
      <c r="AI16" s="96"/>
    </row>
    <row r="17" spans="1:38" ht="31.5" customHeight="1">
      <c r="A17" s="813" t="str">
        <f>VLOOKUP("pfmeaaktualisiert",Translations!$A:$T,MATCH(PSW!AO7,Translations!A1:P1,0),0)</f>
        <v>Was the FMEA updated after recommended actions were implemented?</v>
      </c>
      <c r="B17" s="814"/>
      <c r="C17" s="814"/>
      <c r="D17" s="814"/>
      <c r="E17" s="814"/>
      <c r="F17" s="814"/>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5"/>
      <c r="AE17" s="798"/>
      <c r="AF17" s="799"/>
      <c r="AG17" s="433"/>
      <c r="AH17" s="101"/>
      <c r="AI17" s="96"/>
    </row>
    <row r="18" spans="1:38" ht="31.5" customHeight="1">
      <c r="A18" s="813" t="str">
        <f>VLOOKUP("bauteilerfahrung",Translations!$A:$T,MATCH(PSW!AO7,Translations!A1:P1,0),0)</f>
        <v>Has input / experience from similar parts been used?</v>
      </c>
      <c r="B18" s="814"/>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5"/>
      <c r="AE18" s="798"/>
      <c r="AF18" s="799"/>
      <c r="AG18" s="433"/>
      <c r="AH18" s="101"/>
      <c r="AI18" s="96"/>
    </row>
    <row r="19" spans="1:38" ht="31.5" customHeight="1">
      <c r="A19" s="813" t="str">
        <f>VLOOKUP("präventivemassnahmen",Translations!$A:$T,MATCH(PSW!AO7,Translations!A1:P1,0),0)</f>
        <v>Have preventive control measures, instead of detection actions, been considered where applicable (e.g. POKA-YOKE)?</v>
      </c>
      <c r="B19" s="814"/>
      <c r="C19" s="814"/>
      <c r="D19" s="814"/>
      <c r="E19" s="814"/>
      <c r="F19" s="814"/>
      <c r="G19" s="814"/>
      <c r="H19" s="814"/>
      <c r="I19" s="814"/>
      <c r="J19" s="814"/>
      <c r="K19" s="814"/>
      <c r="L19" s="814"/>
      <c r="M19" s="814"/>
      <c r="N19" s="814"/>
      <c r="O19" s="814"/>
      <c r="P19" s="814"/>
      <c r="Q19" s="814"/>
      <c r="R19" s="814"/>
      <c r="S19" s="814"/>
      <c r="T19" s="814"/>
      <c r="U19" s="814"/>
      <c r="V19" s="814"/>
      <c r="W19" s="814"/>
      <c r="X19" s="814"/>
      <c r="Y19" s="814"/>
      <c r="Z19" s="814"/>
      <c r="AA19" s="814"/>
      <c r="AB19" s="814"/>
      <c r="AC19" s="814"/>
      <c r="AD19" s="815"/>
      <c r="AE19" s="798"/>
      <c r="AF19" s="799"/>
      <c r="AG19" s="433"/>
      <c r="AH19" s="101"/>
      <c r="AI19" s="96"/>
    </row>
    <row r="20" spans="1:38" ht="31.5" customHeight="1">
      <c r="A20" s="813" t="str">
        <f>VLOOKUP("fehlervermeidung",Translations!$A:$T,MATCH(PSW!AO7,Translations!A1:P1,0),0)</f>
        <v>Can the actions listed avoid the causes or failure modes?</v>
      </c>
      <c r="B20" s="814"/>
      <c r="C20" s="814"/>
      <c r="D20" s="814"/>
      <c r="E20" s="814"/>
      <c r="F20" s="814"/>
      <c r="G20" s="814"/>
      <c r="H20" s="814"/>
      <c r="I20" s="814"/>
      <c r="J20" s="814"/>
      <c r="K20" s="814"/>
      <c r="L20" s="814"/>
      <c r="M20" s="814"/>
      <c r="N20" s="814"/>
      <c r="O20" s="814"/>
      <c r="P20" s="814"/>
      <c r="Q20" s="814"/>
      <c r="R20" s="814"/>
      <c r="S20" s="814"/>
      <c r="T20" s="814"/>
      <c r="U20" s="814"/>
      <c r="V20" s="814"/>
      <c r="W20" s="814"/>
      <c r="X20" s="814"/>
      <c r="Y20" s="814"/>
      <c r="Z20" s="814"/>
      <c r="AA20" s="814"/>
      <c r="AB20" s="814"/>
      <c r="AC20" s="814"/>
      <c r="AD20" s="815"/>
      <c r="AE20" s="798"/>
      <c r="AF20" s="799"/>
      <c r="AG20" s="433"/>
      <c r="AH20" s="101"/>
      <c r="AI20" s="96"/>
    </row>
    <row r="21" spans="1:38" ht="31.5" customHeight="1">
      <c r="A21" s="813" t="str">
        <f>VLOOKUP("ursachenvermeidung",Translations!$A:$T,MATCH(PSW!AO7,Translations!A1:P1,0),0)</f>
        <v>Are measures directed at eliminating causes or reducing the occurance of the causes of the failure modes?</v>
      </c>
      <c r="B21" s="814"/>
      <c r="C21" s="814"/>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5"/>
      <c r="AE21" s="798"/>
      <c r="AF21" s="799"/>
      <c r="AG21" s="433"/>
      <c r="AH21" s="101"/>
      <c r="AI21" s="96"/>
    </row>
    <row r="22" spans="1:38" ht="31.5" customHeight="1" thickBot="1">
      <c r="A22" s="805" t="str">
        <f>VLOOKUP("besonderemerkmale",Translations!$A:$T,MATCH(PSW!AO7,Translations!A1:P1,0),0)</f>
        <v>Were special manufacturing/assembly controls identified and implemented for Special Characteristics?</v>
      </c>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806"/>
      <c r="AD22" s="807"/>
      <c r="AE22" s="854"/>
      <c r="AF22" s="855"/>
      <c r="AG22" s="434"/>
      <c r="AH22" s="101"/>
      <c r="AI22" s="96"/>
    </row>
    <row r="23" spans="1:38" ht="9" customHeight="1">
      <c r="A23" s="796"/>
      <c r="B23" s="796"/>
      <c r="C23" s="796"/>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97"/>
      <c r="AI23" s="97"/>
      <c r="AJ23" s="97"/>
      <c r="AK23" s="97"/>
      <c r="AL23" s="97"/>
    </row>
    <row r="24" spans="1:38" ht="22.5" customHeight="1">
      <c r="A24" s="831" t="str">
        <f>VLOOKUP("zusammenfassungpfmea",Translations!$A:$T,MATCH(PSW!AO7,Translations!A1:P1,0),0)</f>
        <v>Summary P-FMEA</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98"/>
      <c r="AI24" s="97"/>
      <c r="AJ24" s="97"/>
      <c r="AK24" s="97"/>
      <c r="AL24" s="97"/>
    </row>
    <row r="25" spans="1:38" ht="18" customHeight="1">
      <c r="A25" s="800" t="str">
        <f>VLOOKUP("fmeanr",Translations!$A:$T,MATCH(PSW!AO7,Translations!A1:P1,0),0)</f>
        <v>FMEA-No.:</v>
      </c>
      <c r="B25" s="800"/>
      <c r="C25" s="800"/>
      <c r="D25" s="802"/>
      <c r="E25" s="802"/>
      <c r="F25" s="802"/>
      <c r="G25" s="802"/>
      <c r="H25" s="802"/>
      <c r="I25" s="802"/>
      <c r="J25" s="802"/>
      <c r="K25" s="802"/>
      <c r="L25" s="800" t="s">
        <v>540</v>
      </c>
      <c r="M25" s="800"/>
      <c r="N25" s="800"/>
      <c r="O25" s="802"/>
      <c r="P25" s="802"/>
      <c r="Q25" s="802"/>
      <c r="R25" s="103"/>
      <c r="S25" s="800" t="str">
        <f>VLOOKUP("fmeadatum",Translations!$A:$T,MATCH(PSW!AO7,Translations!A1:P1,0),0)</f>
        <v>FMEA-Date:</v>
      </c>
      <c r="T25" s="800"/>
      <c r="U25" s="800"/>
      <c r="V25" s="800"/>
      <c r="W25" s="802"/>
      <c r="X25" s="802"/>
      <c r="Y25" s="802"/>
      <c r="Z25" s="802"/>
      <c r="AA25" s="802"/>
      <c r="AC25" s="45"/>
      <c r="AD25" s="45"/>
      <c r="AE25" s="45"/>
      <c r="AF25" s="45"/>
      <c r="AG25" s="45"/>
      <c r="AH25" s="86"/>
      <c r="AI25" s="97"/>
    </row>
    <row r="26" spans="1:38" ht="18" customHeight="1" thickBot="1">
      <c r="A26" s="797"/>
      <c r="B26" s="797"/>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797"/>
      <c r="AG26" s="797"/>
      <c r="AH26" s="86"/>
      <c r="AI26" s="97"/>
      <c r="AJ26" s="97"/>
      <c r="AK26" s="97"/>
    </row>
    <row r="27" spans="1:38" ht="18" customHeight="1">
      <c r="A27" s="88"/>
      <c r="B27" s="89"/>
      <c r="C27" s="849" t="str">
        <f>VLOOKUP("terminmassnahmen",Translations!$A:$T,MATCH(PSW!AO7,Translations!A1:P1,0),0)</f>
        <v>Due date of measures</v>
      </c>
      <c r="D27" s="849"/>
      <c r="E27" s="849"/>
      <c r="F27" s="849"/>
      <c r="G27" s="849"/>
      <c r="H27" s="850"/>
      <c r="I27" s="817"/>
      <c r="J27" s="818"/>
      <c r="K27" s="818"/>
      <c r="L27" s="819"/>
      <c r="M27" s="817"/>
      <c r="N27" s="818"/>
      <c r="O27" s="818"/>
      <c r="P27" s="819"/>
      <c r="Q27" s="817"/>
      <c r="R27" s="818"/>
      <c r="S27" s="819"/>
      <c r="T27" s="817"/>
      <c r="U27" s="818"/>
      <c r="V27" s="818"/>
      <c r="W27" s="819"/>
      <c r="X27" s="817"/>
      <c r="Y27" s="818"/>
      <c r="Z27" s="818"/>
      <c r="AA27" s="818"/>
      <c r="AB27" s="819"/>
      <c r="AC27" s="817"/>
      <c r="AD27" s="818"/>
      <c r="AE27" s="818"/>
      <c r="AF27" s="817"/>
      <c r="AG27" s="857"/>
      <c r="AH27" s="91"/>
      <c r="AI27" s="91"/>
      <c r="AJ27" s="99"/>
      <c r="AK27" s="99"/>
      <c r="AL27" s="97"/>
    </row>
    <row r="28" spans="1:38" ht="18" customHeight="1">
      <c r="A28" s="90"/>
      <c r="B28" s="91"/>
      <c r="C28" s="91"/>
      <c r="D28" s="91"/>
      <c r="E28" s="91"/>
      <c r="F28" s="91"/>
      <c r="G28" s="91"/>
      <c r="H28" s="91"/>
      <c r="I28" s="820"/>
      <c r="J28" s="821"/>
      <c r="K28" s="821"/>
      <c r="L28" s="822"/>
      <c r="M28" s="820"/>
      <c r="N28" s="821"/>
      <c r="O28" s="821"/>
      <c r="P28" s="822"/>
      <c r="Q28" s="820"/>
      <c r="R28" s="821"/>
      <c r="S28" s="822"/>
      <c r="T28" s="820"/>
      <c r="U28" s="821"/>
      <c r="V28" s="821"/>
      <c r="W28" s="822"/>
      <c r="X28" s="820"/>
      <c r="Y28" s="821"/>
      <c r="Z28" s="821"/>
      <c r="AA28" s="821"/>
      <c r="AB28" s="822"/>
      <c r="AC28" s="820"/>
      <c r="AD28" s="821"/>
      <c r="AE28" s="821"/>
      <c r="AF28" s="820"/>
      <c r="AG28" s="795"/>
      <c r="AH28" s="91"/>
      <c r="AI28" s="91"/>
      <c r="AJ28" s="91"/>
      <c r="AK28" s="91"/>
      <c r="AL28" s="97"/>
    </row>
    <row r="29" spans="1:38" ht="18" customHeight="1">
      <c r="A29" s="851" t="str">
        <f>VLOOKUP("anzahlfehlerursachen",Translations!$A:$T,MATCH(PSW!AO7,Translations!A1:P1,0),0)</f>
        <v>Number of failure causes</v>
      </c>
      <c r="B29" s="852"/>
      <c r="C29" s="852"/>
      <c r="D29" s="852"/>
      <c r="E29" s="852"/>
      <c r="F29" s="852"/>
      <c r="G29" s="852"/>
      <c r="H29" s="853"/>
      <c r="I29" s="846" t="str">
        <f>VLOOKUP("erledigt",Translations!$A:$T,MATCH(PSW!AO7,Translations!A1:P1,0),0)</f>
        <v>completed</v>
      </c>
      <c r="J29" s="847"/>
      <c r="K29" s="847"/>
      <c r="L29" s="848"/>
      <c r="M29" s="816"/>
      <c r="N29" s="802"/>
      <c r="O29" s="802"/>
      <c r="P29" s="803"/>
      <c r="Q29" s="802"/>
      <c r="R29" s="802"/>
      <c r="S29" s="803"/>
      <c r="T29" s="802"/>
      <c r="U29" s="802"/>
      <c r="V29" s="802"/>
      <c r="W29" s="803"/>
      <c r="X29" s="816"/>
      <c r="Y29" s="802"/>
      <c r="Z29" s="802"/>
      <c r="AA29" s="802"/>
      <c r="AB29" s="803"/>
      <c r="AC29" s="802"/>
      <c r="AD29" s="802"/>
      <c r="AE29" s="802"/>
      <c r="AF29" s="846" t="str">
        <f>VLOOKUP("später",Translations!$A:$T,MATCH(PSW!AO7,Translations!A1:P1,0),0)</f>
        <v>later</v>
      </c>
      <c r="AG29" s="856"/>
      <c r="AH29" s="87"/>
      <c r="AI29" s="5"/>
      <c r="AJ29" s="87"/>
      <c r="AK29" s="87"/>
      <c r="AL29" s="87"/>
    </row>
    <row r="30" spans="1:38" ht="18" customHeight="1">
      <c r="A30" s="828" t="str">
        <f>VLOOKUP("ohnemassnahmen",Translations!$A:$T,MATCH(PSW!AO7,Translations!A1:P1,0),0)</f>
        <v>without measures</v>
      </c>
      <c r="B30" s="829"/>
      <c r="C30" s="829"/>
      <c r="D30" s="829"/>
      <c r="E30" s="829"/>
      <c r="F30" s="829"/>
      <c r="G30" s="829"/>
      <c r="H30" s="830"/>
      <c r="I30" s="836"/>
      <c r="J30" s="837"/>
      <c r="K30" s="837"/>
      <c r="L30" s="838"/>
      <c r="M30" s="836"/>
      <c r="N30" s="837"/>
      <c r="O30" s="837"/>
      <c r="P30" s="838"/>
      <c r="Q30" s="837"/>
      <c r="R30" s="837"/>
      <c r="S30" s="838"/>
      <c r="T30" s="837"/>
      <c r="U30" s="837"/>
      <c r="V30" s="837"/>
      <c r="W30" s="838"/>
      <c r="X30" s="836"/>
      <c r="Y30" s="837"/>
      <c r="Z30" s="837"/>
      <c r="AA30" s="837"/>
      <c r="AB30" s="838"/>
      <c r="AC30" s="836"/>
      <c r="AD30" s="837"/>
      <c r="AE30" s="838"/>
      <c r="AF30" s="837"/>
      <c r="AG30" s="883"/>
      <c r="AH30" s="100"/>
      <c r="AI30" s="102"/>
      <c r="AJ30" s="102"/>
      <c r="AK30" s="102"/>
      <c r="AL30" s="102"/>
    </row>
    <row r="31" spans="1:38" ht="18" customHeight="1">
      <c r="A31" s="828" t="str">
        <f>VLOOKUP("massnahmenfür",Translations!$A:$T,MATCH(PSW!AO7,Translations!A1:P1,0),0)</f>
        <v>Measures for</v>
      </c>
      <c r="B31" s="829"/>
      <c r="C31" s="829"/>
      <c r="D31" s="829"/>
      <c r="E31" s="834" t="str">
        <f>VLOOKUP("0&lt;RPZ&lt;80",Translations!$A:$T,MATCH(PSW!AO7,Translations!A1:P1,0),0)</f>
        <v>0 &lt; RPN &lt; 80</v>
      </c>
      <c r="F31" s="834"/>
      <c r="G31" s="834"/>
      <c r="H31" s="835"/>
      <c r="I31" s="836"/>
      <c r="J31" s="837"/>
      <c r="K31" s="837"/>
      <c r="L31" s="838"/>
      <c r="M31" s="801"/>
      <c r="N31" s="802"/>
      <c r="O31" s="802"/>
      <c r="P31" s="803"/>
      <c r="Q31" s="802"/>
      <c r="R31" s="802"/>
      <c r="S31" s="803"/>
      <c r="T31" s="802"/>
      <c r="U31" s="802"/>
      <c r="V31" s="802"/>
      <c r="W31" s="803"/>
      <c r="X31" s="801"/>
      <c r="Y31" s="802"/>
      <c r="Z31" s="802"/>
      <c r="AA31" s="802"/>
      <c r="AB31" s="803"/>
      <c r="AC31" s="801"/>
      <c r="AD31" s="802"/>
      <c r="AE31" s="803"/>
      <c r="AF31" s="802"/>
      <c r="AG31" s="804"/>
      <c r="AH31" s="100"/>
      <c r="AI31" s="102"/>
      <c r="AJ31" s="102"/>
      <c r="AK31" s="102"/>
      <c r="AL31" s="102"/>
    </row>
    <row r="32" spans="1:38" ht="18" customHeight="1">
      <c r="A32" s="832" t="str">
        <f>VLOOKUP("massnahmenfür",Translations!$A:$T,MATCH(PSW!AO7,Translations!A1:P1,0),0)</f>
        <v>Measures for</v>
      </c>
      <c r="B32" s="833"/>
      <c r="C32" s="833"/>
      <c r="D32" s="833"/>
      <c r="E32" s="834" t="str">
        <f>VLOOKUP("80&lt;rpz&lt;125",Translations!$A:$T,MATCH(PSW!AO7,Translations!A1:P1,0),0)</f>
        <v>80 &lt; RPN &lt; 125</v>
      </c>
      <c r="F32" s="834"/>
      <c r="G32" s="834"/>
      <c r="H32" s="835"/>
      <c r="I32" s="836"/>
      <c r="J32" s="837"/>
      <c r="K32" s="837"/>
      <c r="L32" s="838"/>
      <c r="M32" s="801"/>
      <c r="N32" s="802"/>
      <c r="O32" s="802"/>
      <c r="P32" s="803"/>
      <c r="Q32" s="802"/>
      <c r="R32" s="802"/>
      <c r="S32" s="803"/>
      <c r="T32" s="802"/>
      <c r="U32" s="802"/>
      <c r="V32" s="802"/>
      <c r="W32" s="803"/>
      <c r="X32" s="801"/>
      <c r="Y32" s="802"/>
      <c r="Z32" s="802"/>
      <c r="AA32" s="802"/>
      <c r="AB32" s="803"/>
      <c r="AC32" s="801"/>
      <c r="AD32" s="802"/>
      <c r="AE32" s="803"/>
      <c r="AF32" s="802"/>
      <c r="AG32" s="804"/>
      <c r="AH32" s="100"/>
      <c r="AI32" s="102"/>
      <c r="AJ32" s="102"/>
      <c r="AK32" s="102"/>
      <c r="AL32" s="102"/>
    </row>
    <row r="33" spans="1:38" ht="18" customHeight="1">
      <c r="A33" s="832" t="str">
        <f>VLOOKUP("massnahmenfür",Translations!$A:$T,MATCH(PSW!AO7,Translations!A1:P1,0),0)</f>
        <v>Measures for</v>
      </c>
      <c r="B33" s="833"/>
      <c r="C33" s="833"/>
      <c r="D33" s="833"/>
      <c r="E33" s="834" t="str">
        <f>VLOOKUP("125&lt;RPZ&lt;200",Translations!$A:$T,MATCH(PSW!AO7,Translations!A1:P1,0),0)</f>
        <v>125 &lt; RPN &lt; 200</v>
      </c>
      <c r="F33" s="834"/>
      <c r="G33" s="834"/>
      <c r="H33" s="835"/>
      <c r="I33" s="836"/>
      <c r="J33" s="837"/>
      <c r="K33" s="837"/>
      <c r="L33" s="838"/>
      <c r="M33" s="801"/>
      <c r="N33" s="802"/>
      <c r="O33" s="802"/>
      <c r="P33" s="803"/>
      <c r="Q33" s="802"/>
      <c r="R33" s="802"/>
      <c r="S33" s="803"/>
      <c r="T33" s="802"/>
      <c r="U33" s="802"/>
      <c r="V33" s="802"/>
      <c r="W33" s="803"/>
      <c r="X33" s="801"/>
      <c r="Y33" s="802"/>
      <c r="Z33" s="802"/>
      <c r="AA33" s="802"/>
      <c r="AB33" s="803"/>
      <c r="AC33" s="801"/>
      <c r="AD33" s="802"/>
      <c r="AE33" s="803"/>
      <c r="AF33" s="802"/>
      <c r="AG33" s="804"/>
      <c r="AH33" s="100"/>
      <c r="AI33" s="102"/>
      <c r="AJ33" s="102"/>
      <c r="AK33" s="102"/>
      <c r="AL33" s="102"/>
    </row>
    <row r="34" spans="1:38" ht="18" customHeight="1">
      <c r="A34" s="832" t="str">
        <f>VLOOKUP("massnahmenfür",Translations!$A:$T,MATCH(PSW!AO7,Translations!A1:P1,0),0)</f>
        <v>Measures for</v>
      </c>
      <c r="B34" s="833"/>
      <c r="C34" s="833"/>
      <c r="D34" s="833"/>
      <c r="E34" s="834" t="str">
        <f>VLOOKUP("200&lt;RPZ&lt;300",Translations!$A:$T,MATCH(PSW!AO7,Translations!A1:P1,0),0)</f>
        <v>200 &lt; RPN &lt; 300</v>
      </c>
      <c r="F34" s="834"/>
      <c r="G34" s="834"/>
      <c r="H34" s="835"/>
      <c r="I34" s="836"/>
      <c r="J34" s="837"/>
      <c r="K34" s="837"/>
      <c r="L34" s="838"/>
      <c r="M34" s="801"/>
      <c r="N34" s="802"/>
      <c r="O34" s="802"/>
      <c r="P34" s="803"/>
      <c r="Q34" s="802"/>
      <c r="R34" s="802"/>
      <c r="S34" s="803"/>
      <c r="T34" s="802"/>
      <c r="U34" s="802"/>
      <c r="V34" s="802"/>
      <c r="W34" s="803"/>
      <c r="X34" s="801"/>
      <c r="Y34" s="802"/>
      <c r="Z34" s="802"/>
      <c r="AA34" s="802"/>
      <c r="AB34" s="803"/>
      <c r="AC34" s="801"/>
      <c r="AD34" s="802"/>
      <c r="AE34" s="803"/>
      <c r="AF34" s="802"/>
      <c r="AG34" s="804"/>
      <c r="AH34" s="100"/>
      <c r="AI34" s="102"/>
      <c r="AJ34" s="102"/>
      <c r="AK34" s="102"/>
      <c r="AL34" s="102"/>
    </row>
    <row r="35" spans="1:38" ht="18" customHeight="1">
      <c r="A35" s="832" t="str">
        <f>VLOOKUP("massnahmenfür",Translations!$A:$T,MATCH(PSW!AO7,Translations!A1:P1,0),0)</f>
        <v>Measures for</v>
      </c>
      <c r="B35" s="833"/>
      <c r="C35" s="833"/>
      <c r="D35" s="833"/>
      <c r="E35" s="834" t="str">
        <f>VLOOKUP("RPZ&gt;300",Translations!$A:$T,MATCH(PSW!AO7,Translations!A1:P1,0),0)</f>
        <v>RPN &gt; 300</v>
      </c>
      <c r="F35" s="834"/>
      <c r="G35" s="834"/>
      <c r="H35" s="835"/>
      <c r="I35" s="836"/>
      <c r="J35" s="837"/>
      <c r="K35" s="837"/>
      <c r="L35" s="838"/>
      <c r="M35" s="801"/>
      <c r="N35" s="802"/>
      <c r="O35" s="802"/>
      <c r="P35" s="803"/>
      <c r="Q35" s="802"/>
      <c r="R35" s="802"/>
      <c r="S35" s="803"/>
      <c r="T35" s="802"/>
      <c r="U35" s="802"/>
      <c r="V35" s="802"/>
      <c r="W35" s="803"/>
      <c r="X35" s="801"/>
      <c r="Y35" s="802"/>
      <c r="Z35" s="802"/>
      <c r="AA35" s="802"/>
      <c r="AB35" s="803"/>
      <c r="AC35" s="801"/>
      <c r="AD35" s="802"/>
      <c r="AE35" s="803"/>
      <c r="AF35" s="802"/>
      <c r="AG35" s="804"/>
      <c r="AH35" s="100"/>
      <c r="AI35" s="102"/>
      <c r="AJ35" s="102"/>
      <c r="AK35" s="102"/>
      <c r="AL35" s="102"/>
    </row>
    <row r="36" spans="1:38" ht="18" customHeight="1">
      <c r="A36" s="828" t="str">
        <f>VLOOKUP("summespaltenmassnahmen",Translations!$A:$T,MATCH(PSW!AO7,Translations!A1:P1,0),0)</f>
        <v>Total of columns with measures</v>
      </c>
      <c r="B36" s="829"/>
      <c r="C36" s="829"/>
      <c r="D36" s="829"/>
      <c r="E36" s="829"/>
      <c r="F36" s="829"/>
      <c r="G36" s="829"/>
      <c r="H36" s="830"/>
      <c r="I36" s="836"/>
      <c r="J36" s="837"/>
      <c r="K36" s="837"/>
      <c r="L36" s="838"/>
      <c r="M36" s="801"/>
      <c r="N36" s="802"/>
      <c r="O36" s="802"/>
      <c r="P36" s="803"/>
      <c r="Q36" s="802"/>
      <c r="R36" s="802"/>
      <c r="S36" s="803"/>
      <c r="T36" s="802"/>
      <c r="U36" s="802"/>
      <c r="V36" s="802"/>
      <c r="W36" s="803"/>
      <c r="X36" s="801"/>
      <c r="Y36" s="802"/>
      <c r="Z36" s="802"/>
      <c r="AA36" s="802"/>
      <c r="AB36" s="803"/>
      <c r="AC36" s="801"/>
      <c r="AD36" s="802"/>
      <c r="AE36" s="803"/>
      <c r="AF36" s="802"/>
      <c r="AG36" s="804"/>
      <c r="AH36" s="100"/>
      <c r="AI36" s="102"/>
      <c r="AJ36" s="102"/>
      <c r="AK36" s="102"/>
      <c r="AL36" s="102"/>
    </row>
    <row r="37" spans="1:38" ht="18" customHeight="1" thickBot="1">
      <c r="A37" s="825" t="str">
        <f>VLOOKUP("anzahlfehlerursachen",Translations!$A:$T,MATCH(PSW!AO7,Translations!A1:P1,0),0)</f>
        <v>Number of failure causes</v>
      </c>
      <c r="B37" s="826"/>
      <c r="C37" s="826"/>
      <c r="D37" s="826"/>
      <c r="E37" s="826"/>
      <c r="F37" s="826"/>
      <c r="G37" s="826"/>
      <c r="H37" s="827"/>
      <c r="I37" s="869"/>
      <c r="J37" s="870"/>
      <c r="K37" s="870"/>
      <c r="L37" s="871"/>
      <c r="M37" s="743"/>
      <c r="N37" s="740"/>
      <c r="O37" s="740"/>
      <c r="P37" s="741"/>
      <c r="Q37" s="740"/>
      <c r="R37" s="740"/>
      <c r="S37" s="741"/>
      <c r="T37" s="740"/>
      <c r="U37" s="740"/>
      <c r="V37" s="740"/>
      <c r="W37" s="741"/>
      <c r="X37" s="743"/>
      <c r="Y37" s="740"/>
      <c r="Z37" s="740"/>
      <c r="AA37" s="740"/>
      <c r="AB37" s="741"/>
      <c r="AC37" s="743"/>
      <c r="AD37" s="740"/>
      <c r="AE37" s="741"/>
      <c r="AF37" s="740"/>
      <c r="AG37" s="872"/>
      <c r="AH37" s="100"/>
      <c r="AI37" s="102"/>
      <c r="AJ37" s="102"/>
      <c r="AK37" s="102"/>
      <c r="AL37" s="102"/>
    </row>
    <row r="38" spans="1:38" ht="9" customHeight="1">
      <c r="A38" s="793"/>
      <c r="B38" s="793"/>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row>
    <row r="39" spans="1:38" ht="9" customHeight="1" thickBot="1">
      <c r="A39" s="708"/>
      <c r="B39" s="708"/>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row>
    <row r="40" spans="1:38">
      <c r="A40" s="794"/>
      <c r="B40" s="794"/>
      <c r="C40" s="794"/>
      <c r="D40" s="794"/>
      <c r="E40" s="794"/>
      <c r="F40" s="794"/>
      <c r="G40" s="794"/>
      <c r="H40" s="794"/>
      <c r="I40" s="794"/>
      <c r="J40" s="794"/>
      <c r="K40" s="794"/>
      <c r="L40" s="794"/>
      <c r="M40" s="795"/>
      <c r="N40" s="839" t="str">
        <f>VLOOKUP("signature",Translations!$A:$T,MATCH(PSW!AO7,Translations!A1:P1,0),0)</f>
        <v>SIGNATURE</v>
      </c>
      <c r="O40" s="840"/>
      <c r="P40" s="840"/>
      <c r="Q40" s="840"/>
      <c r="R40" s="840"/>
      <c r="S40" s="840"/>
      <c r="T40" s="840"/>
      <c r="U40" s="840"/>
      <c r="V40" s="840"/>
      <c r="W40" s="841"/>
      <c r="X40" s="873" t="str">
        <f>VLOOKUP("title1",Translations!$A:$T,MATCH(PSW!AO7,Translations!A1:P1,0),0)</f>
        <v>TITLE</v>
      </c>
      <c r="Y40" s="840"/>
      <c r="Z40" s="840"/>
      <c r="AA40" s="840"/>
      <c r="AB40" s="840"/>
      <c r="AC40" s="840"/>
      <c r="AD40" s="840"/>
      <c r="AE40" s="841"/>
      <c r="AF40" s="840" t="str">
        <f>VLOOKUP("date1",Translations!$A:$T,MATCH(PSW!AO7,Translations!A1:P1,0),0)</f>
        <v>DATE</v>
      </c>
      <c r="AG40" s="874"/>
    </row>
    <row r="41" spans="1:38" ht="18" customHeight="1">
      <c r="A41" s="794"/>
      <c r="B41" s="794"/>
      <c r="C41" s="794"/>
      <c r="D41" s="794"/>
      <c r="E41" s="794"/>
      <c r="F41" s="794"/>
      <c r="G41" s="794"/>
      <c r="H41" s="794"/>
      <c r="I41" s="794"/>
      <c r="J41" s="794"/>
      <c r="K41" s="794"/>
      <c r="L41" s="794"/>
      <c r="M41" s="795"/>
      <c r="N41" s="842"/>
      <c r="O41" s="843"/>
      <c r="P41" s="843"/>
      <c r="Q41" s="843"/>
      <c r="R41" s="843"/>
      <c r="S41" s="843"/>
      <c r="T41" s="843"/>
      <c r="U41" s="843"/>
      <c r="V41" s="843"/>
      <c r="W41" s="843"/>
      <c r="X41" s="879"/>
      <c r="Y41" s="843"/>
      <c r="Z41" s="843"/>
      <c r="AA41" s="843"/>
      <c r="AB41" s="843"/>
      <c r="AC41" s="843"/>
      <c r="AD41" s="843"/>
      <c r="AE41" s="880"/>
      <c r="AF41" s="875"/>
      <c r="AG41" s="876"/>
    </row>
    <row r="42" spans="1:38" ht="24" customHeight="1" thickBot="1">
      <c r="A42" s="794"/>
      <c r="B42" s="794"/>
      <c r="C42" s="794"/>
      <c r="D42" s="794"/>
      <c r="E42" s="794"/>
      <c r="F42" s="794"/>
      <c r="G42" s="794"/>
      <c r="H42" s="794"/>
      <c r="I42" s="794"/>
      <c r="J42" s="794"/>
      <c r="K42" s="794"/>
      <c r="L42" s="794"/>
      <c r="M42" s="795"/>
      <c r="N42" s="844"/>
      <c r="O42" s="845"/>
      <c r="P42" s="845"/>
      <c r="Q42" s="845"/>
      <c r="R42" s="845"/>
      <c r="S42" s="845"/>
      <c r="T42" s="845"/>
      <c r="U42" s="845"/>
      <c r="V42" s="845"/>
      <c r="W42" s="845"/>
      <c r="X42" s="881"/>
      <c r="Y42" s="845"/>
      <c r="Z42" s="845"/>
      <c r="AA42" s="845"/>
      <c r="AB42" s="845"/>
      <c r="AC42" s="845"/>
      <c r="AD42" s="845"/>
      <c r="AE42" s="882"/>
      <c r="AF42" s="877"/>
      <c r="AG42" s="878"/>
    </row>
  </sheetData>
  <sheetProtection algorithmName="SHA-512" hashValue="Y6xiPSQgV1pl8pPrGSglOqwYdMllVlMAQxng4+tDv+HZT7g2KOrAwlCPLLpVtmw1Tzf3Sy5UasX6Cf5MVea6Xw==" saltValue="h5d8Twrhm8Wt+r01L6INqg==" spinCount="100000" sheet="1" scenarios="1" formatCells="0" formatColumns="0" formatRows="0" insertColumns="0" insertRows="0" deleteColumns="0" deleteRows="0" selectLockedCells="1"/>
  <mergeCells count="140">
    <mergeCell ref="T36:W36"/>
    <mergeCell ref="AF30:AG30"/>
    <mergeCell ref="AF31:AG31"/>
    <mergeCell ref="AF32:AG32"/>
    <mergeCell ref="Q36:S36"/>
    <mergeCell ref="AF37:AG37"/>
    <mergeCell ref="Q37:S37"/>
    <mergeCell ref="X33:AB33"/>
    <mergeCell ref="W25:AA25"/>
    <mergeCell ref="X40:AE40"/>
    <mergeCell ref="AF40:AG40"/>
    <mergeCell ref="AF41:AG42"/>
    <mergeCell ref="X41:AE42"/>
    <mergeCell ref="X37:AB37"/>
    <mergeCell ref="AC30:AE30"/>
    <mergeCell ref="AC31:AE31"/>
    <mergeCell ref="AC32:AE32"/>
    <mergeCell ref="AC33:AE33"/>
    <mergeCell ref="AC34:AE34"/>
    <mergeCell ref="AC35:AE35"/>
    <mergeCell ref="AC36:AE36"/>
    <mergeCell ref="AC37:AE37"/>
    <mergeCell ref="T30:W30"/>
    <mergeCell ref="T31:W31"/>
    <mergeCell ref="T32:W32"/>
    <mergeCell ref="T33:W33"/>
    <mergeCell ref="T34:W34"/>
    <mergeCell ref="T35:W35"/>
    <mergeCell ref="I37:L37"/>
    <mergeCell ref="M30:P30"/>
    <mergeCell ref="M31:P31"/>
    <mergeCell ref="M32:P32"/>
    <mergeCell ref="M33:P33"/>
    <mergeCell ref="M34:P34"/>
    <mergeCell ref="M35:P35"/>
    <mergeCell ref="M36:P36"/>
    <mergeCell ref="M37:P37"/>
    <mergeCell ref="A6:R9"/>
    <mergeCell ref="S6:AG6"/>
    <mergeCell ref="S8:AG8"/>
    <mergeCell ref="S9:AG9"/>
    <mergeCell ref="A4:D4"/>
    <mergeCell ref="E4:R4"/>
    <mergeCell ref="S4:W4"/>
    <mergeCell ref="X4:AG4"/>
    <mergeCell ref="A5:G5"/>
    <mergeCell ref="H5:R5"/>
    <mergeCell ref="S5:X5"/>
    <mergeCell ref="Y5:AG5"/>
    <mergeCell ref="S7:AG7"/>
    <mergeCell ref="P1:AF3"/>
    <mergeCell ref="N40:W40"/>
    <mergeCell ref="N41:W42"/>
    <mergeCell ref="I29:L29"/>
    <mergeCell ref="A20:AD20"/>
    <mergeCell ref="A21:AD21"/>
    <mergeCell ref="A18:AD18"/>
    <mergeCell ref="A19:AD19"/>
    <mergeCell ref="A16:AD16"/>
    <mergeCell ref="A17:AD17"/>
    <mergeCell ref="C27:H27"/>
    <mergeCell ref="A29:H29"/>
    <mergeCell ref="I30:L30"/>
    <mergeCell ref="I31:L31"/>
    <mergeCell ref="I32:L32"/>
    <mergeCell ref="I33:L33"/>
    <mergeCell ref="Q30:S30"/>
    <mergeCell ref="Q31:S31"/>
    <mergeCell ref="Q32:S32"/>
    <mergeCell ref="Q33:S33"/>
    <mergeCell ref="X30:AB30"/>
    <mergeCell ref="X31:AB31"/>
    <mergeCell ref="X32:AB32"/>
    <mergeCell ref="AE14:AF14"/>
    <mergeCell ref="AE11:AF11"/>
    <mergeCell ref="AE12:AF12"/>
    <mergeCell ref="O25:Q25"/>
    <mergeCell ref="A37:H37"/>
    <mergeCell ref="A36:H36"/>
    <mergeCell ref="A24:AG24"/>
    <mergeCell ref="A35:D35"/>
    <mergeCell ref="E35:H35"/>
    <mergeCell ref="A34:D34"/>
    <mergeCell ref="E34:H34"/>
    <mergeCell ref="I34:L34"/>
    <mergeCell ref="I35:L35"/>
    <mergeCell ref="Q34:S34"/>
    <mergeCell ref="Q35:S35"/>
    <mergeCell ref="X34:AB34"/>
    <mergeCell ref="X35:AB35"/>
    <mergeCell ref="A31:D31"/>
    <mergeCell ref="E31:H31"/>
    <mergeCell ref="A30:H30"/>
    <mergeCell ref="A33:D33"/>
    <mergeCell ref="E33:H33"/>
    <mergeCell ref="A32:D32"/>
    <mergeCell ref="E32:H32"/>
    <mergeCell ref="A25:C25"/>
    <mergeCell ref="A11:AD11"/>
    <mergeCell ref="A12:AD12"/>
    <mergeCell ref="A13:AD13"/>
    <mergeCell ref="A14:AD14"/>
    <mergeCell ref="M29:P29"/>
    <mergeCell ref="Q29:S29"/>
    <mergeCell ref="T29:W29"/>
    <mergeCell ref="X29:AB29"/>
    <mergeCell ref="I27:L28"/>
    <mergeCell ref="M27:P28"/>
    <mergeCell ref="Q27:S28"/>
    <mergeCell ref="T27:W28"/>
    <mergeCell ref="X27:AB28"/>
    <mergeCell ref="A15:AD15"/>
    <mergeCell ref="D25:K25"/>
    <mergeCell ref="L25:N25"/>
    <mergeCell ref="AC29:AE29"/>
    <mergeCell ref="AC27:AE28"/>
    <mergeCell ref="A38:AG39"/>
    <mergeCell ref="A40:M42"/>
    <mergeCell ref="A23:AG23"/>
    <mergeCell ref="A26:AG26"/>
    <mergeCell ref="AE13:AF13"/>
    <mergeCell ref="S25:V25"/>
    <mergeCell ref="X36:AB36"/>
    <mergeCell ref="AF34:AG34"/>
    <mergeCell ref="AF35:AG35"/>
    <mergeCell ref="AF36:AG36"/>
    <mergeCell ref="A22:AD22"/>
    <mergeCell ref="AE20:AF20"/>
    <mergeCell ref="AE21:AF21"/>
    <mergeCell ref="AE15:AF15"/>
    <mergeCell ref="AE16:AF16"/>
    <mergeCell ref="AE17:AF17"/>
    <mergeCell ref="AE18:AF18"/>
    <mergeCell ref="AE19:AF19"/>
    <mergeCell ref="AE22:AF22"/>
    <mergeCell ref="AF29:AG29"/>
    <mergeCell ref="AF27:AG28"/>
    <mergeCell ref="AF33:AG33"/>
    <mergeCell ref="T37:W37"/>
    <mergeCell ref="I36:L36"/>
  </mergeCells>
  <printOptions horizontalCentered="1"/>
  <pageMargins left="0.6692913385826772" right="0.59055118110236227" top="0.9055118110236221" bottom="0.70866141732283472" header="0.31496062992125984" footer="0.31496062992125984"/>
  <pageSetup paperSize="9" scale="69" orientation="portrait" r:id="rId1"/>
  <headerFooter>
    <oddHeader>&amp;R&amp;G</oddHeader>
    <oddFooter>&amp;LMHG-PU-F-0018&amp;CPPAP Template ; Rev.: 01/2019&amp;RJ.-U. Liedtke / PU-SD-GA</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BQ56"/>
  <sheetViews>
    <sheetView showGridLines="0" zoomScaleNormal="100" workbookViewId="0">
      <selection activeCell="J13" sqref="J13:P13"/>
    </sheetView>
  </sheetViews>
  <sheetFormatPr baseColWidth="10" defaultColWidth="9.140625" defaultRowHeight="12.75"/>
  <cols>
    <col min="1" max="1" width="5.42578125" customWidth="1"/>
    <col min="2" max="2" width="3.28515625" customWidth="1"/>
    <col min="3" max="6" width="3.42578125" customWidth="1"/>
    <col min="7" max="7" width="6.42578125" customWidth="1"/>
    <col min="8" max="8" width="3.85546875" customWidth="1"/>
    <col min="9" max="9" width="2.140625" customWidth="1"/>
    <col min="10" max="11" width="3.42578125" customWidth="1"/>
    <col min="12" max="12" width="2.7109375" customWidth="1"/>
    <col min="13" max="15" width="3.42578125" customWidth="1"/>
    <col min="16" max="16" width="6.28515625" customWidth="1"/>
    <col min="17" max="18" width="7" customWidth="1"/>
    <col min="19" max="19" width="2.7109375" customWidth="1"/>
    <col min="20" max="23" width="3.42578125" customWidth="1"/>
    <col min="24" max="24" width="1.7109375" customWidth="1"/>
    <col min="25" max="27" width="3.42578125" customWidth="1"/>
    <col min="28" max="28" width="2.7109375" customWidth="1"/>
    <col min="29" max="29" width="6.42578125" customWidth="1"/>
    <col min="30" max="30" width="4.7109375" customWidth="1"/>
    <col min="31" max="31" width="10.7109375" customWidth="1"/>
    <col min="32" max="69" width="9.140625" style="32"/>
  </cols>
  <sheetData>
    <row r="1" spans="1:39" ht="12.75" customHeight="1">
      <c r="A1" s="2"/>
      <c r="B1" s="2"/>
      <c r="C1" s="2"/>
      <c r="D1" s="2"/>
      <c r="E1" s="2"/>
      <c r="F1" s="2"/>
      <c r="G1" s="2"/>
      <c r="H1" s="2"/>
      <c r="I1" s="2"/>
      <c r="J1" s="2"/>
      <c r="K1" s="2"/>
      <c r="L1" s="2"/>
      <c r="M1" s="2"/>
      <c r="N1" s="2"/>
      <c r="O1" s="2"/>
      <c r="P1" s="690" t="str">
        <f>VLOOKUP("ppaprocesscapability",Translations!$A:$T,MATCH(PSW!AO7,Translations!A1:P1,0),0)</f>
        <v>Production Part Approval
Process Capability</v>
      </c>
      <c r="Q1" s="690"/>
      <c r="R1" s="690"/>
      <c r="S1" s="690"/>
      <c r="T1" s="690"/>
      <c r="U1" s="690"/>
      <c r="V1" s="690"/>
      <c r="W1" s="690"/>
      <c r="X1" s="690"/>
      <c r="Y1" s="690"/>
      <c r="Z1" s="690"/>
      <c r="AA1" s="690"/>
      <c r="AB1" s="690"/>
      <c r="AC1" s="690"/>
      <c r="AD1" s="690"/>
      <c r="AE1" s="114"/>
    </row>
    <row r="2" spans="1:39" ht="12.75" customHeight="1">
      <c r="A2" s="2"/>
      <c r="B2" s="2"/>
      <c r="C2" s="2"/>
      <c r="D2" s="2"/>
      <c r="E2" s="2"/>
      <c r="F2" s="2"/>
      <c r="G2" s="2"/>
      <c r="H2" s="2"/>
      <c r="I2" s="2"/>
      <c r="J2" s="2"/>
      <c r="K2" s="2"/>
      <c r="L2" s="2"/>
      <c r="M2" s="2"/>
      <c r="N2" s="2"/>
      <c r="O2" s="2"/>
      <c r="P2" s="690"/>
      <c r="Q2" s="690"/>
      <c r="R2" s="690"/>
      <c r="S2" s="690"/>
      <c r="T2" s="690"/>
      <c r="U2" s="690"/>
      <c r="V2" s="690"/>
      <c r="W2" s="690"/>
      <c r="X2" s="690"/>
      <c r="Y2" s="690"/>
      <c r="Z2" s="690"/>
      <c r="AA2" s="690"/>
      <c r="AB2" s="690"/>
      <c r="AC2" s="690"/>
      <c r="AD2" s="690"/>
      <c r="AE2" s="114"/>
    </row>
    <row r="3" spans="1:39" ht="13.5" customHeight="1" thickBot="1">
      <c r="A3" s="4"/>
      <c r="B3" s="4"/>
      <c r="C3" s="4"/>
      <c r="D3" s="4"/>
      <c r="E3" s="4"/>
      <c r="F3" s="4"/>
      <c r="G3" s="4"/>
      <c r="H3" s="4"/>
      <c r="I3" s="4"/>
      <c r="J3" s="4"/>
      <c r="K3" s="4"/>
      <c r="L3" s="4"/>
      <c r="M3" s="4"/>
      <c r="N3" s="4"/>
      <c r="O3" s="4"/>
      <c r="P3" s="691"/>
      <c r="Q3" s="691"/>
      <c r="R3" s="691"/>
      <c r="S3" s="691"/>
      <c r="T3" s="691"/>
      <c r="U3" s="691"/>
      <c r="V3" s="691"/>
      <c r="W3" s="691"/>
      <c r="X3" s="691"/>
      <c r="Y3" s="691"/>
      <c r="Z3" s="691"/>
      <c r="AA3" s="691"/>
      <c r="AB3" s="691"/>
      <c r="AC3" s="691"/>
      <c r="AD3" s="691"/>
      <c r="AE3" s="115"/>
    </row>
    <row r="4" spans="1:39" ht="13.5" customHeight="1">
      <c r="A4" s="679" t="str">
        <f>'MAT Test'!A4</f>
        <v>ORGANIZATION:</v>
      </c>
      <c r="B4" s="680"/>
      <c r="C4" s="680"/>
      <c r="D4" s="680"/>
      <c r="E4" s="607" t="str">
        <f>'DIM Test'!E4</f>
        <v>?</v>
      </c>
      <c r="F4" s="607"/>
      <c r="G4" s="607"/>
      <c r="H4" s="607"/>
      <c r="I4" s="607"/>
      <c r="J4" s="607"/>
      <c r="K4" s="607"/>
      <c r="L4" s="607"/>
      <c r="M4" s="607"/>
      <c r="N4" s="607"/>
      <c r="O4" s="607"/>
      <c r="P4" s="607"/>
      <c r="Q4" s="608"/>
      <c r="R4" s="679" t="str">
        <f>'MAT Test'!R4</f>
        <v>PART NUMBER:</v>
      </c>
      <c r="S4" s="680"/>
      <c r="T4" s="680"/>
      <c r="U4" s="680"/>
      <c r="V4" s="607" t="str">
        <f>'DIM Test'!X4</f>
        <v>?</v>
      </c>
      <c r="W4" s="607"/>
      <c r="X4" s="607"/>
      <c r="Y4" s="607"/>
      <c r="Z4" s="607"/>
      <c r="AA4" s="607"/>
      <c r="AB4" s="607"/>
      <c r="AC4" s="607"/>
      <c r="AD4" s="607"/>
      <c r="AE4" s="608"/>
    </row>
    <row r="5" spans="1:39" ht="13.5" customHeight="1" thickBot="1">
      <c r="A5" s="722" t="str">
        <f>'MAT Test'!A5</f>
        <v>SUPPLIER / VENDOR CODE:</v>
      </c>
      <c r="B5" s="723"/>
      <c r="C5" s="723"/>
      <c r="D5" s="723"/>
      <c r="E5" s="723"/>
      <c r="F5" s="723"/>
      <c r="G5" s="723"/>
      <c r="H5" s="712" t="str">
        <f>'DIM Test'!I5</f>
        <v>?</v>
      </c>
      <c r="I5" s="712"/>
      <c r="J5" s="712"/>
      <c r="K5" s="712"/>
      <c r="L5" s="712"/>
      <c r="M5" s="712"/>
      <c r="N5" s="712"/>
      <c r="O5" s="712"/>
      <c r="P5" s="712"/>
      <c r="Q5" s="713"/>
      <c r="R5" s="725" t="str">
        <f>'MAT Test'!R5</f>
        <v>PART NAME:</v>
      </c>
      <c r="S5" s="726"/>
      <c r="T5" s="726"/>
      <c r="U5" s="726"/>
      <c r="V5" s="726"/>
      <c r="W5" s="609" t="str">
        <f>'DIM Test'!Y5</f>
        <v>?</v>
      </c>
      <c r="X5" s="609"/>
      <c r="Y5" s="609"/>
      <c r="Z5" s="609"/>
      <c r="AA5" s="609"/>
      <c r="AB5" s="609"/>
      <c r="AC5" s="609"/>
      <c r="AD5" s="609"/>
      <c r="AE5" s="610"/>
    </row>
    <row r="6" spans="1:39" ht="13.5" customHeight="1">
      <c r="A6" s="858"/>
      <c r="B6" s="859"/>
      <c r="C6" s="859"/>
      <c r="D6" s="859"/>
      <c r="E6" s="859"/>
      <c r="F6" s="859"/>
      <c r="G6" s="859"/>
      <c r="H6" s="859"/>
      <c r="I6" s="859"/>
      <c r="J6" s="859"/>
      <c r="K6" s="859"/>
      <c r="L6" s="859"/>
      <c r="M6" s="859"/>
      <c r="N6" s="859"/>
      <c r="O6" s="859"/>
      <c r="P6" s="859"/>
      <c r="Q6" s="860"/>
      <c r="R6" s="725" t="str">
        <f>'MAT Test'!R6</f>
        <v>DESIGN RECORD CHANGE LEVEL:</v>
      </c>
      <c r="S6" s="726"/>
      <c r="T6" s="726"/>
      <c r="U6" s="726"/>
      <c r="V6" s="726"/>
      <c r="W6" s="726"/>
      <c r="X6" s="726"/>
      <c r="Y6" s="726"/>
      <c r="Z6" s="726"/>
      <c r="AA6" s="726"/>
      <c r="AB6" s="726"/>
      <c r="AC6" s="726"/>
      <c r="AD6" s="726"/>
      <c r="AE6" s="727"/>
    </row>
    <row r="7" spans="1:39" ht="13.5" customHeight="1">
      <c r="A7" s="861"/>
      <c r="B7" s="862"/>
      <c r="C7" s="862"/>
      <c r="D7" s="862"/>
      <c r="E7" s="862"/>
      <c r="F7" s="862"/>
      <c r="G7" s="862"/>
      <c r="H7" s="862"/>
      <c r="I7" s="862"/>
      <c r="J7" s="862"/>
      <c r="K7" s="862"/>
      <c r="L7" s="862"/>
      <c r="M7" s="862"/>
      <c r="N7" s="862"/>
      <c r="O7" s="862"/>
      <c r="P7" s="862"/>
      <c r="Q7" s="863"/>
      <c r="R7" s="565" t="str">
        <f>'DIM Test'!S7</f>
        <v>?</v>
      </c>
      <c r="S7" s="599"/>
      <c r="T7" s="599"/>
      <c r="U7" s="599"/>
      <c r="V7" s="599"/>
      <c r="W7" s="599"/>
      <c r="X7" s="599"/>
      <c r="Y7" s="599"/>
      <c r="Z7" s="599"/>
      <c r="AA7" s="599"/>
      <c r="AB7" s="599"/>
      <c r="AC7" s="599"/>
      <c r="AD7" s="599"/>
      <c r="AE7" s="600"/>
    </row>
    <row r="8" spans="1:39" ht="13.5" customHeight="1">
      <c r="A8" s="861"/>
      <c r="B8" s="862"/>
      <c r="C8" s="862"/>
      <c r="D8" s="862"/>
      <c r="E8" s="862"/>
      <c r="F8" s="862"/>
      <c r="G8" s="862"/>
      <c r="H8" s="862"/>
      <c r="I8" s="862"/>
      <c r="J8" s="862"/>
      <c r="K8" s="862"/>
      <c r="L8" s="862"/>
      <c r="M8" s="862"/>
      <c r="N8" s="862"/>
      <c r="O8" s="862"/>
      <c r="P8" s="862"/>
      <c r="Q8" s="863"/>
      <c r="R8" s="725" t="str">
        <f>'MAT Test'!R8</f>
        <v>ENGINEERING CHANGE DOCUMENTS:</v>
      </c>
      <c r="S8" s="726"/>
      <c r="T8" s="726"/>
      <c r="U8" s="726"/>
      <c r="V8" s="726"/>
      <c r="W8" s="726"/>
      <c r="X8" s="726"/>
      <c r="Y8" s="726"/>
      <c r="Z8" s="726"/>
      <c r="AA8" s="726"/>
      <c r="AB8" s="726"/>
      <c r="AC8" s="726"/>
      <c r="AD8" s="726"/>
      <c r="AE8" s="727"/>
    </row>
    <row r="9" spans="1:39" ht="13.5" customHeight="1" thickBot="1">
      <c r="A9" s="864"/>
      <c r="B9" s="865"/>
      <c r="C9" s="865"/>
      <c r="D9" s="865"/>
      <c r="E9" s="865"/>
      <c r="F9" s="865"/>
      <c r="G9" s="865"/>
      <c r="H9" s="865"/>
      <c r="I9" s="865"/>
      <c r="J9" s="865"/>
      <c r="K9" s="865"/>
      <c r="L9" s="865"/>
      <c r="M9" s="865"/>
      <c r="N9" s="865"/>
      <c r="O9" s="865"/>
      <c r="P9" s="865"/>
      <c r="Q9" s="866"/>
      <c r="R9" s="565" t="str">
        <f>'DIM Test'!S9</f>
        <v>?</v>
      </c>
      <c r="S9" s="599"/>
      <c r="T9" s="599"/>
      <c r="U9" s="599"/>
      <c r="V9" s="599"/>
      <c r="W9" s="599"/>
      <c r="X9" s="599"/>
      <c r="Y9" s="599"/>
      <c r="Z9" s="599"/>
      <c r="AA9" s="599"/>
      <c r="AB9" s="599"/>
      <c r="AC9" s="599"/>
      <c r="AD9" s="599"/>
      <c r="AE9" s="600"/>
      <c r="AF9" s="92"/>
      <c r="AG9" s="92"/>
      <c r="AH9" s="92"/>
      <c r="AI9" s="92"/>
      <c r="AJ9" s="92"/>
    </row>
    <row r="10" spans="1:39" ht="27" customHeight="1">
      <c r="A10" s="886" t="str">
        <f>VLOOKUP("item",Translations!$A:$T,MATCH(PSW!AO7,Translations!A1:P1,0),0)</f>
        <v>ITEM</v>
      </c>
      <c r="B10" s="886" t="str">
        <f>VLOOKUP("characteristicnominalvalueunit",Translations!$A:$T,MATCH(PSW!AO7,Translations!A1:P1,0),0)</f>
        <v>CHARACTERISTIC / NOMINAL VALUE / UNIT</v>
      </c>
      <c r="C10" s="886"/>
      <c r="D10" s="886"/>
      <c r="E10" s="886"/>
      <c r="F10" s="886"/>
      <c r="G10" s="886"/>
      <c r="H10" s="886"/>
      <c r="I10" s="886"/>
      <c r="J10" s="886" t="str">
        <f>VLOOKUP("inspectionmethode",Translations!$A:$T,MATCH(PSW!AO7,Translations!A1:P1,0),0)</f>
        <v>INSPECTION METHODE</v>
      </c>
      <c r="K10" s="886"/>
      <c r="L10" s="886"/>
      <c r="M10" s="886"/>
      <c r="N10" s="886"/>
      <c r="O10" s="886"/>
      <c r="P10" s="886"/>
      <c r="Q10" s="646" t="str">
        <f>VLOOKUP("processstable",Translations!$A:$T,MATCH(PSW!AO7,Translations!A1:P1,0),0)</f>
        <v>PROCESS STABLE</v>
      </c>
      <c r="R10" s="646"/>
      <c r="S10" s="886" t="s">
        <v>898</v>
      </c>
      <c r="T10" s="886"/>
      <c r="U10" s="886" t="s">
        <v>899</v>
      </c>
      <c r="V10" s="886"/>
      <c r="W10" s="886" t="str">
        <f>VLOOKUP("comment",Translations!$A:$T,MATCH(PSW!AO7,Translations!A1:P1,0),0)</f>
        <v>COMMENT</v>
      </c>
      <c r="X10" s="886"/>
      <c r="Y10" s="886"/>
      <c r="Z10" s="886"/>
      <c r="AA10" s="886"/>
      <c r="AB10" s="886"/>
      <c r="AC10" s="886"/>
      <c r="AD10" s="886"/>
      <c r="AE10" s="886"/>
      <c r="AG10" s="93"/>
      <c r="AH10" s="94"/>
      <c r="AJ10" s="94"/>
      <c r="AK10" s="95"/>
      <c r="AL10" s="94"/>
      <c r="AM10" s="94"/>
    </row>
    <row r="11" spans="1:39" ht="17.25" customHeight="1" thickBot="1">
      <c r="A11" s="887"/>
      <c r="B11" s="887"/>
      <c r="C11" s="887"/>
      <c r="D11" s="887"/>
      <c r="E11" s="887"/>
      <c r="F11" s="887"/>
      <c r="G11" s="887"/>
      <c r="H11" s="887"/>
      <c r="I11" s="887"/>
      <c r="J11" s="887"/>
      <c r="K11" s="887"/>
      <c r="L11" s="887"/>
      <c r="M11" s="887"/>
      <c r="N11" s="887"/>
      <c r="O11" s="887"/>
      <c r="P11" s="887"/>
      <c r="Q11" s="37" t="str">
        <f>VLOOKUP("ok/yes",Translations!$A:$T,MATCH(PSW!AO7,Translations!A1:P1,0),0)</f>
        <v>YES</v>
      </c>
      <c r="R11" s="38" t="str">
        <f>VLOOKUP("nok/no",Translations!$A:$T,MATCH(PSW!AO7,Translations!A1:P1,0),0)</f>
        <v>NO</v>
      </c>
      <c r="S11" s="887"/>
      <c r="T11" s="887"/>
      <c r="U11" s="887"/>
      <c r="V11" s="887"/>
      <c r="W11" s="887"/>
      <c r="X11" s="887"/>
      <c r="Y11" s="887"/>
      <c r="Z11" s="887"/>
      <c r="AA11" s="887"/>
      <c r="AB11" s="887"/>
      <c r="AC11" s="887"/>
      <c r="AD11" s="887"/>
      <c r="AE11" s="887"/>
      <c r="AG11" s="104"/>
      <c r="AH11" s="94"/>
      <c r="AJ11" s="94"/>
      <c r="AK11" s="95"/>
      <c r="AL11" s="94"/>
      <c r="AM11" s="94"/>
    </row>
    <row r="12" spans="1:39" ht="20.25" customHeight="1">
      <c r="A12" s="51"/>
      <c r="B12" s="888"/>
      <c r="C12" s="888"/>
      <c r="D12" s="888"/>
      <c r="E12" s="888"/>
      <c r="F12" s="888"/>
      <c r="G12" s="888"/>
      <c r="H12" s="888"/>
      <c r="I12" s="888"/>
      <c r="J12" s="888"/>
      <c r="K12" s="888"/>
      <c r="L12" s="888"/>
      <c r="M12" s="888"/>
      <c r="N12" s="888"/>
      <c r="O12" s="888"/>
      <c r="P12" s="888"/>
      <c r="Q12" s="54"/>
      <c r="R12" s="55"/>
      <c r="S12" s="760"/>
      <c r="T12" s="760"/>
      <c r="U12" s="760"/>
      <c r="V12" s="760"/>
      <c r="W12" s="888"/>
      <c r="X12" s="888"/>
      <c r="Y12" s="888"/>
      <c r="Z12" s="888"/>
      <c r="AA12" s="888"/>
      <c r="AB12" s="888"/>
      <c r="AC12" s="888"/>
      <c r="AD12" s="888"/>
      <c r="AE12" s="888"/>
      <c r="AG12" s="104"/>
      <c r="AH12" s="94"/>
      <c r="AL12" s="94"/>
    </row>
    <row r="13" spans="1:39" ht="20.25" customHeight="1">
      <c r="A13" s="52"/>
      <c r="B13" s="884"/>
      <c r="C13" s="884"/>
      <c r="D13" s="884"/>
      <c r="E13" s="884"/>
      <c r="F13" s="884"/>
      <c r="G13" s="884"/>
      <c r="H13" s="884"/>
      <c r="I13" s="884"/>
      <c r="J13" s="884"/>
      <c r="K13" s="884"/>
      <c r="L13" s="884"/>
      <c r="M13" s="884"/>
      <c r="N13" s="884"/>
      <c r="O13" s="884"/>
      <c r="P13" s="884"/>
      <c r="Q13" s="56"/>
      <c r="R13" s="48"/>
      <c r="S13" s="753"/>
      <c r="T13" s="753"/>
      <c r="U13" s="753"/>
      <c r="V13" s="753"/>
      <c r="W13" s="884"/>
      <c r="X13" s="884"/>
      <c r="Y13" s="884"/>
      <c r="Z13" s="884"/>
      <c r="AA13" s="884"/>
      <c r="AB13" s="884"/>
      <c r="AC13" s="884"/>
      <c r="AD13" s="884"/>
      <c r="AE13" s="884"/>
      <c r="AL13" s="94"/>
    </row>
    <row r="14" spans="1:39" ht="20.25" customHeight="1">
      <c r="A14" s="52"/>
      <c r="B14" s="884"/>
      <c r="C14" s="884"/>
      <c r="D14" s="884"/>
      <c r="E14" s="884"/>
      <c r="F14" s="884"/>
      <c r="G14" s="884"/>
      <c r="H14" s="884"/>
      <c r="I14" s="884"/>
      <c r="J14" s="884"/>
      <c r="K14" s="884"/>
      <c r="L14" s="884"/>
      <c r="M14" s="884"/>
      <c r="N14" s="884"/>
      <c r="O14" s="884"/>
      <c r="P14" s="884"/>
      <c r="Q14" s="56"/>
      <c r="R14" s="48"/>
      <c r="S14" s="753"/>
      <c r="T14" s="753"/>
      <c r="U14" s="753"/>
      <c r="V14" s="753"/>
      <c r="W14" s="884"/>
      <c r="X14" s="884"/>
      <c r="Y14" s="884"/>
      <c r="Z14" s="884"/>
      <c r="AA14" s="884"/>
      <c r="AB14" s="884"/>
      <c r="AC14" s="884"/>
      <c r="AD14" s="884"/>
      <c r="AE14" s="884"/>
    </row>
    <row r="15" spans="1:39" ht="20.25" customHeight="1">
      <c r="A15" s="52"/>
      <c r="B15" s="884"/>
      <c r="C15" s="884"/>
      <c r="D15" s="884"/>
      <c r="E15" s="884"/>
      <c r="F15" s="884"/>
      <c r="G15" s="884"/>
      <c r="H15" s="884"/>
      <c r="I15" s="884"/>
      <c r="J15" s="884"/>
      <c r="K15" s="884"/>
      <c r="L15" s="884"/>
      <c r="M15" s="884"/>
      <c r="N15" s="884"/>
      <c r="O15" s="884"/>
      <c r="P15" s="884"/>
      <c r="Q15" s="56"/>
      <c r="R15" s="48"/>
      <c r="S15" s="753"/>
      <c r="T15" s="753"/>
      <c r="U15" s="753"/>
      <c r="V15" s="753"/>
      <c r="W15" s="884"/>
      <c r="X15" s="884"/>
      <c r="Y15" s="884"/>
      <c r="Z15" s="884"/>
      <c r="AA15" s="884"/>
      <c r="AB15" s="884"/>
      <c r="AC15" s="884"/>
      <c r="AD15" s="884"/>
      <c r="AE15" s="884"/>
    </row>
    <row r="16" spans="1:39" ht="20.25" customHeight="1">
      <c r="A16" s="52"/>
      <c r="B16" s="884"/>
      <c r="C16" s="884"/>
      <c r="D16" s="884"/>
      <c r="E16" s="884"/>
      <c r="F16" s="884"/>
      <c r="G16" s="884"/>
      <c r="H16" s="884"/>
      <c r="I16" s="884"/>
      <c r="J16" s="884"/>
      <c r="K16" s="884"/>
      <c r="L16" s="884"/>
      <c r="M16" s="884"/>
      <c r="N16" s="884"/>
      <c r="O16" s="884"/>
      <c r="P16" s="884"/>
      <c r="Q16" s="56"/>
      <c r="R16" s="48"/>
      <c r="S16" s="753"/>
      <c r="T16" s="753"/>
      <c r="U16" s="753"/>
      <c r="V16" s="753"/>
      <c r="W16" s="884"/>
      <c r="X16" s="884"/>
      <c r="Y16" s="884"/>
      <c r="Z16" s="884"/>
      <c r="AA16" s="884"/>
      <c r="AB16" s="884"/>
      <c r="AC16" s="884"/>
      <c r="AD16" s="884"/>
      <c r="AE16" s="884"/>
    </row>
    <row r="17" spans="1:31" ht="20.25" customHeight="1">
      <c r="A17" s="52"/>
      <c r="B17" s="884"/>
      <c r="C17" s="884"/>
      <c r="D17" s="884"/>
      <c r="E17" s="884"/>
      <c r="F17" s="884"/>
      <c r="G17" s="884"/>
      <c r="H17" s="884"/>
      <c r="I17" s="884"/>
      <c r="J17" s="884"/>
      <c r="K17" s="884"/>
      <c r="L17" s="884"/>
      <c r="M17" s="884"/>
      <c r="N17" s="884"/>
      <c r="O17" s="884"/>
      <c r="P17" s="884"/>
      <c r="Q17" s="56"/>
      <c r="R17" s="48"/>
      <c r="S17" s="753"/>
      <c r="T17" s="753"/>
      <c r="U17" s="753"/>
      <c r="V17" s="753"/>
      <c r="W17" s="884"/>
      <c r="X17" s="884"/>
      <c r="Y17" s="884"/>
      <c r="Z17" s="884"/>
      <c r="AA17" s="884"/>
      <c r="AB17" s="884"/>
      <c r="AC17" s="884"/>
      <c r="AD17" s="884"/>
      <c r="AE17" s="884"/>
    </row>
    <row r="18" spans="1:31" ht="20.25" customHeight="1">
      <c r="A18" s="52"/>
      <c r="B18" s="884"/>
      <c r="C18" s="884"/>
      <c r="D18" s="884"/>
      <c r="E18" s="884"/>
      <c r="F18" s="884"/>
      <c r="G18" s="884"/>
      <c r="H18" s="884"/>
      <c r="I18" s="884"/>
      <c r="J18" s="884"/>
      <c r="K18" s="884"/>
      <c r="L18" s="884"/>
      <c r="M18" s="884"/>
      <c r="N18" s="884"/>
      <c r="O18" s="884"/>
      <c r="P18" s="884"/>
      <c r="Q18" s="56"/>
      <c r="R18" s="48"/>
      <c r="S18" s="753"/>
      <c r="T18" s="753"/>
      <c r="U18" s="753"/>
      <c r="V18" s="753"/>
      <c r="W18" s="884"/>
      <c r="X18" s="884"/>
      <c r="Y18" s="884"/>
      <c r="Z18" s="884"/>
      <c r="AA18" s="884"/>
      <c r="AB18" s="884"/>
      <c r="AC18" s="884"/>
      <c r="AD18" s="884"/>
      <c r="AE18" s="884"/>
    </row>
    <row r="19" spans="1:31" ht="20.25" customHeight="1">
      <c r="A19" s="52"/>
      <c r="B19" s="884"/>
      <c r="C19" s="884"/>
      <c r="D19" s="884"/>
      <c r="E19" s="884"/>
      <c r="F19" s="884"/>
      <c r="G19" s="884"/>
      <c r="H19" s="884"/>
      <c r="I19" s="884"/>
      <c r="J19" s="884"/>
      <c r="K19" s="884"/>
      <c r="L19" s="884"/>
      <c r="M19" s="884"/>
      <c r="N19" s="884"/>
      <c r="O19" s="884"/>
      <c r="P19" s="884"/>
      <c r="Q19" s="56"/>
      <c r="R19" s="48"/>
      <c r="S19" s="753"/>
      <c r="T19" s="753"/>
      <c r="U19" s="753"/>
      <c r="V19" s="753"/>
      <c r="W19" s="884"/>
      <c r="X19" s="884"/>
      <c r="Y19" s="884"/>
      <c r="Z19" s="884"/>
      <c r="AA19" s="884"/>
      <c r="AB19" s="884"/>
      <c r="AC19" s="884"/>
      <c r="AD19" s="884"/>
      <c r="AE19" s="884"/>
    </row>
    <row r="20" spans="1:31" ht="20.25" customHeight="1">
      <c r="A20" s="52"/>
      <c r="B20" s="884"/>
      <c r="C20" s="884"/>
      <c r="D20" s="884"/>
      <c r="E20" s="884"/>
      <c r="F20" s="884"/>
      <c r="G20" s="884"/>
      <c r="H20" s="884"/>
      <c r="I20" s="884"/>
      <c r="J20" s="884"/>
      <c r="K20" s="884"/>
      <c r="L20" s="884"/>
      <c r="M20" s="884"/>
      <c r="N20" s="884"/>
      <c r="O20" s="884"/>
      <c r="P20" s="884"/>
      <c r="Q20" s="56"/>
      <c r="R20" s="48"/>
      <c r="S20" s="753"/>
      <c r="T20" s="753"/>
      <c r="U20" s="753"/>
      <c r="V20" s="753"/>
      <c r="W20" s="884"/>
      <c r="X20" s="884"/>
      <c r="Y20" s="884"/>
      <c r="Z20" s="884"/>
      <c r="AA20" s="884"/>
      <c r="AB20" s="884"/>
      <c r="AC20" s="884"/>
      <c r="AD20" s="884"/>
      <c r="AE20" s="884"/>
    </row>
    <row r="21" spans="1:31" ht="20.25" customHeight="1">
      <c r="A21" s="52"/>
      <c r="B21" s="884"/>
      <c r="C21" s="884"/>
      <c r="D21" s="884"/>
      <c r="E21" s="884"/>
      <c r="F21" s="884"/>
      <c r="G21" s="884"/>
      <c r="H21" s="884"/>
      <c r="I21" s="884"/>
      <c r="J21" s="884"/>
      <c r="K21" s="884"/>
      <c r="L21" s="884"/>
      <c r="M21" s="884"/>
      <c r="N21" s="884"/>
      <c r="O21" s="884"/>
      <c r="P21" s="884"/>
      <c r="Q21" s="56"/>
      <c r="R21" s="48"/>
      <c r="S21" s="753"/>
      <c r="T21" s="753"/>
      <c r="U21" s="753"/>
      <c r="V21" s="753"/>
      <c r="W21" s="884"/>
      <c r="X21" s="884"/>
      <c r="Y21" s="884"/>
      <c r="Z21" s="884"/>
      <c r="AA21" s="884"/>
      <c r="AB21" s="884"/>
      <c r="AC21" s="884"/>
      <c r="AD21" s="884"/>
      <c r="AE21" s="884"/>
    </row>
    <row r="22" spans="1:31" ht="20.25" customHeight="1">
      <c r="A22" s="52"/>
      <c r="B22" s="884"/>
      <c r="C22" s="884"/>
      <c r="D22" s="884"/>
      <c r="E22" s="884"/>
      <c r="F22" s="884"/>
      <c r="G22" s="884"/>
      <c r="H22" s="884"/>
      <c r="I22" s="884"/>
      <c r="J22" s="884"/>
      <c r="K22" s="884"/>
      <c r="L22" s="884"/>
      <c r="M22" s="884"/>
      <c r="N22" s="884"/>
      <c r="O22" s="884"/>
      <c r="P22" s="884"/>
      <c r="Q22" s="56"/>
      <c r="R22" s="48"/>
      <c r="S22" s="753"/>
      <c r="T22" s="753"/>
      <c r="U22" s="753"/>
      <c r="V22" s="753"/>
      <c r="W22" s="884"/>
      <c r="X22" s="884"/>
      <c r="Y22" s="884"/>
      <c r="Z22" s="884"/>
      <c r="AA22" s="884"/>
      <c r="AB22" s="884"/>
      <c r="AC22" s="884"/>
      <c r="AD22" s="884"/>
      <c r="AE22" s="884"/>
    </row>
    <row r="23" spans="1:31" ht="20.25" customHeight="1">
      <c r="A23" s="52"/>
      <c r="B23" s="884"/>
      <c r="C23" s="884"/>
      <c r="D23" s="884"/>
      <c r="E23" s="884"/>
      <c r="F23" s="884"/>
      <c r="G23" s="884"/>
      <c r="H23" s="884"/>
      <c r="I23" s="884"/>
      <c r="J23" s="884"/>
      <c r="K23" s="884"/>
      <c r="L23" s="884"/>
      <c r="M23" s="884"/>
      <c r="N23" s="884"/>
      <c r="O23" s="884"/>
      <c r="P23" s="884"/>
      <c r="Q23" s="56"/>
      <c r="R23" s="48"/>
      <c r="S23" s="753"/>
      <c r="T23" s="753"/>
      <c r="U23" s="753"/>
      <c r="V23" s="753"/>
      <c r="W23" s="884"/>
      <c r="X23" s="884"/>
      <c r="Y23" s="884"/>
      <c r="Z23" s="884"/>
      <c r="AA23" s="884"/>
      <c r="AB23" s="884"/>
      <c r="AC23" s="884"/>
      <c r="AD23" s="884"/>
      <c r="AE23" s="884"/>
    </row>
    <row r="24" spans="1:31" ht="20.25" customHeight="1">
      <c r="A24" s="52"/>
      <c r="B24" s="884"/>
      <c r="C24" s="884"/>
      <c r="D24" s="884"/>
      <c r="E24" s="884"/>
      <c r="F24" s="884"/>
      <c r="G24" s="884"/>
      <c r="H24" s="884"/>
      <c r="I24" s="884"/>
      <c r="J24" s="884"/>
      <c r="K24" s="884"/>
      <c r="L24" s="884"/>
      <c r="M24" s="884"/>
      <c r="N24" s="884"/>
      <c r="O24" s="884"/>
      <c r="P24" s="884"/>
      <c r="Q24" s="56"/>
      <c r="R24" s="48"/>
      <c r="S24" s="753"/>
      <c r="T24" s="753"/>
      <c r="U24" s="753"/>
      <c r="V24" s="753"/>
      <c r="W24" s="884"/>
      <c r="X24" s="884"/>
      <c r="Y24" s="884"/>
      <c r="Z24" s="884"/>
      <c r="AA24" s="884"/>
      <c r="AB24" s="884"/>
      <c r="AC24" s="884"/>
      <c r="AD24" s="884"/>
      <c r="AE24" s="884"/>
    </row>
    <row r="25" spans="1:31" ht="20.25" customHeight="1">
      <c r="A25" s="52"/>
      <c r="B25" s="884"/>
      <c r="C25" s="884"/>
      <c r="D25" s="884"/>
      <c r="E25" s="884"/>
      <c r="F25" s="884"/>
      <c r="G25" s="884"/>
      <c r="H25" s="884"/>
      <c r="I25" s="884"/>
      <c r="J25" s="884"/>
      <c r="K25" s="884"/>
      <c r="L25" s="884"/>
      <c r="M25" s="884"/>
      <c r="N25" s="884"/>
      <c r="O25" s="884"/>
      <c r="P25" s="884"/>
      <c r="Q25" s="56"/>
      <c r="R25" s="48"/>
      <c r="S25" s="753"/>
      <c r="T25" s="753"/>
      <c r="U25" s="753"/>
      <c r="V25" s="753"/>
      <c r="W25" s="884"/>
      <c r="X25" s="884"/>
      <c r="Y25" s="884"/>
      <c r="Z25" s="884"/>
      <c r="AA25" s="884"/>
      <c r="AB25" s="884"/>
      <c r="AC25" s="884"/>
      <c r="AD25" s="884"/>
      <c r="AE25" s="884"/>
    </row>
    <row r="26" spans="1:31" ht="20.25" customHeight="1">
      <c r="A26" s="52"/>
      <c r="B26" s="884"/>
      <c r="C26" s="884"/>
      <c r="D26" s="884"/>
      <c r="E26" s="884"/>
      <c r="F26" s="884"/>
      <c r="G26" s="884"/>
      <c r="H26" s="884"/>
      <c r="I26" s="884"/>
      <c r="J26" s="884"/>
      <c r="K26" s="884"/>
      <c r="L26" s="884"/>
      <c r="M26" s="884"/>
      <c r="N26" s="884"/>
      <c r="O26" s="884"/>
      <c r="P26" s="884"/>
      <c r="Q26" s="56"/>
      <c r="R26" s="48"/>
      <c r="S26" s="753"/>
      <c r="T26" s="753"/>
      <c r="U26" s="753"/>
      <c r="V26" s="753"/>
      <c r="W26" s="884"/>
      <c r="X26" s="884"/>
      <c r="Y26" s="884"/>
      <c r="Z26" s="884"/>
      <c r="AA26" s="884"/>
      <c r="AB26" s="884"/>
      <c r="AC26" s="884"/>
      <c r="AD26" s="884"/>
      <c r="AE26" s="884"/>
    </row>
    <row r="27" spans="1:31" ht="20.25" customHeight="1">
      <c r="A27" s="52"/>
      <c r="B27" s="884"/>
      <c r="C27" s="884"/>
      <c r="D27" s="884"/>
      <c r="E27" s="884"/>
      <c r="F27" s="884"/>
      <c r="G27" s="884"/>
      <c r="H27" s="884"/>
      <c r="I27" s="884"/>
      <c r="J27" s="884"/>
      <c r="K27" s="884"/>
      <c r="L27" s="884"/>
      <c r="M27" s="884"/>
      <c r="N27" s="884"/>
      <c r="O27" s="884"/>
      <c r="P27" s="884"/>
      <c r="Q27" s="56"/>
      <c r="R27" s="48"/>
      <c r="S27" s="753"/>
      <c r="T27" s="753"/>
      <c r="U27" s="753"/>
      <c r="V27" s="753"/>
      <c r="W27" s="884"/>
      <c r="X27" s="884"/>
      <c r="Y27" s="884"/>
      <c r="Z27" s="884"/>
      <c r="AA27" s="884"/>
      <c r="AB27" s="884"/>
      <c r="AC27" s="884"/>
      <c r="AD27" s="884"/>
      <c r="AE27" s="884"/>
    </row>
    <row r="28" spans="1:31" ht="20.25" customHeight="1">
      <c r="A28" s="52"/>
      <c r="B28" s="884"/>
      <c r="C28" s="884"/>
      <c r="D28" s="884"/>
      <c r="E28" s="884"/>
      <c r="F28" s="884"/>
      <c r="G28" s="884"/>
      <c r="H28" s="884"/>
      <c r="I28" s="884"/>
      <c r="J28" s="884"/>
      <c r="K28" s="884"/>
      <c r="L28" s="884"/>
      <c r="M28" s="884"/>
      <c r="N28" s="884"/>
      <c r="O28" s="884"/>
      <c r="P28" s="884"/>
      <c r="Q28" s="56"/>
      <c r="R28" s="48"/>
      <c r="S28" s="753"/>
      <c r="T28" s="753"/>
      <c r="U28" s="753"/>
      <c r="V28" s="753"/>
      <c r="W28" s="884"/>
      <c r="X28" s="884"/>
      <c r="Y28" s="884"/>
      <c r="Z28" s="884"/>
      <c r="AA28" s="884"/>
      <c r="AB28" s="884"/>
      <c r="AC28" s="884"/>
      <c r="AD28" s="884"/>
      <c r="AE28" s="884"/>
    </row>
    <row r="29" spans="1:31" ht="20.25" customHeight="1">
      <c r="A29" s="52"/>
      <c r="B29" s="884"/>
      <c r="C29" s="884"/>
      <c r="D29" s="884"/>
      <c r="E29" s="884"/>
      <c r="F29" s="884"/>
      <c r="G29" s="884"/>
      <c r="H29" s="884"/>
      <c r="I29" s="884"/>
      <c r="J29" s="884"/>
      <c r="K29" s="884"/>
      <c r="L29" s="884"/>
      <c r="M29" s="884"/>
      <c r="N29" s="884"/>
      <c r="O29" s="884"/>
      <c r="P29" s="884"/>
      <c r="Q29" s="56"/>
      <c r="R29" s="48"/>
      <c r="S29" s="753"/>
      <c r="T29" s="753"/>
      <c r="U29" s="753"/>
      <c r="V29" s="753"/>
      <c r="W29" s="884"/>
      <c r="X29" s="884"/>
      <c r="Y29" s="884"/>
      <c r="Z29" s="884"/>
      <c r="AA29" s="884"/>
      <c r="AB29" s="884"/>
      <c r="AC29" s="884"/>
      <c r="AD29" s="884"/>
      <c r="AE29" s="884"/>
    </row>
    <row r="30" spans="1:31" ht="20.25" customHeight="1">
      <c r="A30" s="52"/>
      <c r="B30" s="884"/>
      <c r="C30" s="884"/>
      <c r="D30" s="884"/>
      <c r="E30" s="884"/>
      <c r="F30" s="884"/>
      <c r="G30" s="884"/>
      <c r="H30" s="884"/>
      <c r="I30" s="884"/>
      <c r="J30" s="884"/>
      <c r="K30" s="884"/>
      <c r="L30" s="884"/>
      <c r="M30" s="884"/>
      <c r="N30" s="884"/>
      <c r="O30" s="884"/>
      <c r="P30" s="884"/>
      <c r="Q30" s="56"/>
      <c r="R30" s="48"/>
      <c r="S30" s="753"/>
      <c r="T30" s="753"/>
      <c r="U30" s="753"/>
      <c r="V30" s="753"/>
      <c r="W30" s="884"/>
      <c r="X30" s="884"/>
      <c r="Y30" s="884"/>
      <c r="Z30" s="884"/>
      <c r="AA30" s="884"/>
      <c r="AB30" s="884"/>
      <c r="AC30" s="884"/>
      <c r="AD30" s="884"/>
      <c r="AE30" s="884"/>
    </row>
    <row r="31" spans="1:31" ht="20.25" customHeight="1">
      <c r="A31" s="52"/>
      <c r="B31" s="884"/>
      <c r="C31" s="884"/>
      <c r="D31" s="884"/>
      <c r="E31" s="884"/>
      <c r="F31" s="884"/>
      <c r="G31" s="884"/>
      <c r="H31" s="884"/>
      <c r="I31" s="884"/>
      <c r="J31" s="884"/>
      <c r="K31" s="884"/>
      <c r="L31" s="884"/>
      <c r="M31" s="884"/>
      <c r="N31" s="884"/>
      <c r="O31" s="884"/>
      <c r="P31" s="884"/>
      <c r="Q31" s="56"/>
      <c r="R31" s="48"/>
      <c r="S31" s="753"/>
      <c r="T31" s="753"/>
      <c r="U31" s="753"/>
      <c r="V31" s="753"/>
      <c r="W31" s="884"/>
      <c r="X31" s="884"/>
      <c r="Y31" s="884"/>
      <c r="Z31" s="884"/>
      <c r="AA31" s="884"/>
      <c r="AB31" s="884"/>
      <c r="AC31" s="884"/>
      <c r="AD31" s="884"/>
      <c r="AE31" s="884"/>
    </row>
    <row r="32" spans="1:31" ht="20.25" customHeight="1">
      <c r="A32" s="52"/>
      <c r="B32" s="884"/>
      <c r="C32" s="884"/>
      <c r="D32" s="884"/>
      <c r="E32" s="884"/>
      <c r="F32" s="884"/>
      <c r="G32" s="884"/>
      <c r="H32" s="884"/>
      <c r="I32" s="884"/>
      <c r="J32" s="884"/>
      <c r="K32" s="884"/>
      <c r="L32" s="884"/>
      <c r="M32" s="884"/>
      <c r="N32" s="884"/>
      <c r="O32" s="884"/>
      <c r="P32" s="884"/>
      <c r="Q32" s="56"/>
      <c r="R32" s="48"/>
      <c r="S32" s="753"/>
      <c r="T32" s="753"/>
      <c r="U32" s="753"/>
      <c r="V32" s="753"/>
      <c r="W32" s="884"/>
      <c r="X32" s="884"/>
      <c r="Y32" s="884"/>
      <c r="Z32" s="884"/>
      <c r="AA32" s="884"/>
      <c r="AB32" s="884"/>
      <c r="AC32" s="884"/>
      <c r="AD32" s="884"/>
      <c r="AE32" s="884"/>
    </row>
    <row r="33" spans="1:31" ht="20.25" customHeight="1">
      <c r="A33" s="52"/>
      <c r="B33" s="884"/>
      <c r="C33" s="884"/>
      <c r="D33" s="884"/>
      <c r="E33" s="884"/>
      <c r="F33" s="884"/>
      <c r="G33" s="884"/>
      <c r="H33" s="884"/>
      <c r="I33" s="884"/>
      <c r="J33" s="884"/>
      <c r="K33" s="884"/>
      <c r="L33" s="884"/>
      <c r="M33" s="884"/>
      <c r="N33" s="884"/>
      <c r="O33" s="884"/>
      <c r="P33" s="884"/>
      <c r="Q33" s="56"/>
      <c r="R33" s="48"/>
      <c r="S33" s="753"/>
      <c r="T33" s="753"/>
      <c r="U33" s="753"/>
      <c r="V33" s="753"/>
      <c r="W33" s="884"/>
      <c r="X33" s="884"/>
      <c r="Y33" s="884"/>
      <c r="Z33" s="884"/>
      <c r="AA33" s="884"/>
      <c r="AB33" s="884"/>
      <c r="AC33" s="884"/>
      <c r="AD33" s="884"/>
      <c r="AE33" s="884"/>
    </row>
    <row r="34" spans="1:31" ht="20.25" customHeight="1">
      <c r="A34" s="52"/>
      <c r="B34" s="884"/>
      <c r="C34" s="884"/>
      <c r="D34" s="884"/>
      <c r="E34" s="884"/>
      <c r="F34" s="884"/>
      <c r="G34" s="884"/>
      <c r="H34" s="884"/>
      <c r="I34" s="884"/>
      <c r="J34" s="884"/>
      <c r="K34" s="884"/>
      <c r="L34" s="884"/>
      <c r="M34" s="884"/>
      <c r="N34" s="884"/>
      <c r="O34" s="884"/>
      <c r="P34" s="884"/>
      <c r="Q34" s="56"/>
      <c r="R34" s="48"/>
      <c r="S34" s="753"/>
      <c r="T34" s="753"/>
      <c r="U34" s="753"/>
      <c r="V34" s="753"/>
      <c r="W34" s="884"/>
      <c r="X34" s="884"/>
      <c r="Y34" s="884"/>
      <c r="Z34" s="884"/>
      <c r="AA34" s="884"/>
      <c r="AB34" s="884"/>
      <c r="AC34" s="884"/>
      <c r="AD34" s="884"/>
      <c r="AE34" s="884"/>
    </row>
    <row r="35" spans="1:31" ht="20.25" customHeight="1">
      <c r="A35" s="52"/>
      <c r="B35" s="884"/>
      <c r="C35" s="884"/>
      <c r="D35" s="884"/>
      <c r="E35" s="884"/>
      <c r="F35" s="884"/>
      <c r="G35" s="884"/>
      <c r="H35" s="884"/>
      <c r="I35" s="884"/>
      <c r="J35" s="884"/>
      <c r="K35" s="884"/>
      <c r="L35" s="884"/>
      <c r="M35" s="884"/>
      <c r="N35" s="884"/>
      <c r="O35" s="884"/>
      <c r="P35" s="884"/>
      <c r="Q35" s="56"/>
      <c r="R35" s="48"/>
      <c r="S35" s="753"/>
      <c r="T35" s="753"/>
      <c r="U35" s="753"/>
      <c r="V35" s="753"/>
      <c r="W35" s="884"/>
      <c r="X35" s="884"/>
      <c r="Y35" s="884"/>
      <c r="Z35" s="884"/>
      <c r="AA35" s="884"/>
      <c r="AB35" s="884"/>
      <c r="AC35" s="884"/>
      <c r="AD35" s="884"/>
      <c r="AE35" s="884"/>
    </row>
    <row r="36" spans="1:31" ht="20.25" customHeight="1">
      <c r="A36" s="52"/>
      <c r="B36" s="884"/>
      <c r="C36" s="884"/>
      <c r="D36" s="884"/>
      <c r="E36" s="884"/>
      <c r="F36" s="884"/>
      <c r="G36" s="884"/>
      <c r="H36" s="884"/>
      <c r="I36" s="884"/>
      <c r="J36" s="884"/>
      <c r="K36" s="884"/>
      <c r="L36" s="884"/>
      <c r="M36" s="884"/>
      <c r="N36" s="884"/>
      <c r="O36" s="884"/>
      <c r="P36" s="884"/>
      <c r="Q36" s="56"/>
      <c r="R36" s="48"/>
      <c r="S36" s="753"/>
      <c r="T36" s="753"/>
      <c r="U36" s="753"/>
      <c r="V36" s="753"/>
      <c r="W36" s="884"/>
      <c r="X36" s="884"/>
      <c r="Y36" s="884"/>
      <c r="Z36" s="884"/>
      <c r="AA36" s="884"/>
      <c r="AB36" s="884"/>
      <c r="AC36" s="884"/>
      <c r="AD36" s="884"/>
      <c r="AE36" s="884"/>
    </row>
    <row r="37" spans="1:31" ht="20.25" customHeight="1">
      <c r="A37" s="52"/>
      <c r="B37" s="884"/>
      <c r="C37" s="884"/>
      <c r="D37" s="884"/>
      <c r="E37" s="884"/>
      <c r="F37" s="884"/>
      <c r="G37" s="884"/>
      <c r="H37" s="884"/>
      <c r="I37" s="884"/>
      <c r="J37" s="884"/>
      <c r="K37" s="884"/>
      <c r="L37" s="884"/>
      <c r="M37" s="884"/>
      <c r="N37" s="884"/>
      <c r="O37" s="884"/>
      <c r="P37" s="884"/>
      <c r="Q37" s="56"/>
      <c r="R37" s="48"/>
      <c r="S37" s="753"/>
      <c r="T37" s="753"/>
      <c r="U37" s="753"/>
      <c r="V37" s="753"/>
      <c r="W37" s="884"/>
      <c r="X37" s="884"/>
      <c r="Y37" s="884"/>
      <c r="Z37" s="884"/>
      <c r="AA37" s="884"/>
      <c r="AB37" s="884"/>
      <c r="AC37" s="884"/>
      <c r="AD37" s="884"/>
      <c r="AE37" s="884"/>
    </row>
    <row r="38" spans="1:31" ht="20.25" customHeight="1">
      <c r="A38" s="52"/>
      <c r="B38" s="884"/>
      <c r="C38" s="884"/>
      <c r="D38" s="884"/>
      <c r="E38" s="884"/>
      <c r="F38" s="884"/>
      <c r="G38" s="884"/>
      <c r="H38" s="884"/>
      <c r="I38" s="884"/>
      <c r="J38" s="884"/>
      <c r="K38" s="884"/>
      <c r="L38" s="884"/>
      <c r="M38" s="884"/>
      <c r="N38" s="884"/>
      <c r="O38" s="884"/>
      <c r="P38" s="884"/>
      <c r="Q38" s="56"/>
      <c r="R38" s="48"/>
      <c r="S38" s="753"/>
      <c r="T38" s="753"/>
      <c r="U38" s="753"/>
      <c r="V38" s="753"/>
      <c r="W38" s="884"/>
      <c r="X38" s="884"/>
      <c r="Y38" s="884"/>
      <c r="Z38" s="884"/>
      <c r="AA38" s="884"/>
      <c r="AB38" s="884"/>
      <c r="AC38" s="884"/>
      <c r="AD38" s="884"/>
      <c r="AE38" s="884"/>
    </row>
    <row r="39" spans="1:31" ht="20.25" customHeight="1">
      <c r="A39" s="52"/>
      <c r="B39" s="884"/>
      <c r="C39" s="884"/>
      <c r="D39" s="884"/>
      <c r="E39" s="884"/>
      <c r="F39" s="884"/>
      <c r="G39" s="884"/>
      <c r="H39" s="884"/>
      <c r="I39" s="884"/>
      <c r="J39" s="884"/>
      <c r="K39" s="884"/>
      <c r="L39" s="884"/>
      <c r="M39" s="884"/>
      <c r="N39" s="884"/>
      <c r="O39" s="884"/>
      <c r="P39" s="884"/>
      <c r="Q39" s="56"/>
      <c r="R39" s="48"/>
      <c r="S39" s="753"/>
      <c r="T39" s="753"/>
      <c r="U39" s="753"/>
      <c r="V39" s="753"/>
      <c r="W39" s="884"/>
      <c r="X39" s="884"/>
      <c r="Y39" s="884"/>
      <c r="Z39" s="884"/>
      <c r="AA39" s="884"/>
      <c r="AB39" s="884"/>
      <c r="AC39" s="884"/>
      <c r="AD39" s="884"/>
      <c r="AE39" s="884"/>
    </row>
    <row r="40" spans="1:31" ht="20.25" customHeight="1">
      <c r="A40" s="52"/>
      <c r="B40" s="884"/>
      <c r="C40" s="884"/>
      <c r="D40" s="884"/>
      <c r="E40" s="884"/>
      <c r="F40" s="884"/>
      <c r="G40" s="884"/>
      <c r="H40" s="884"/>
      <c r="I40" s="884"/>
      <c r="J40" s="884"/>
      <c r="K40" s="884"/>
      <c r="L40" s="884"/>
      <c r="M40" s="884"/>
      <c r="N40" s="884"/>
      <c r="O40" s="884"/>
      <c r="P40" s="884"/>
      <c r="Q40" s="56"/>
      <c r="R40" s="48"/>
      <c r="S40" s="753"/>
      <c r="T40" s="753"/>
      <c r="U40" s="753"/>
      <c r="V40" s="753"/>
      <c r="W40" s="884"/>
      <c r="X40" s="884"/>
      <c r="Y40" s="884"/>
      <c r="Z40" s="884"/>
      <c r="AA40" s="884"/>
      <c r="AB40" s="884"/>
      <c r="AC40" s="884"/>
      <c r="AD40" s="884"/>
      <c r="AE40" s="884"/>
    </row>
    <row r="41" spans="1:31" ht="20.25" customHeight="1">
      <c r="A41" s="52"/>
      <c r="B41" s="884"/>
      <c r="C41" s="884"/>
      <c r="D41" s="884"/>
      <c r="E41" s="884"/>
      <c r="F41" s="884"/>
      <c r="G41" s="884"/>
      <c r="H41" s="884"/>
      <c r="I41" s="884"/>
      <c r="J41" s="884"/>
      <c r="K41" s="884"/>
      <c r="L41" s="884"/>
      <c r="M41" s="884"/>
      <c r="N41" s="884"/>
      <c r="O41" s="884"/>
      <c r="P41" s="884"/>
      <c r="Q41" s="56"/>
      <c r="R41" s="48"/>
      <c r="S41" s="753"/>
      <c r="T41" s="753"/>
      <c r="U41" s="753"/>
      <c r="V41" s="753"/>
      <c r="W41" s="884"/>
      <c r="X41" s="884"/>
      <c r="Y41" s="884"/>
      <c r="Z41" s="884"/>
      <c r="AA41" s="884"/>
      <c r="AB41" s="884"/>
      <c r="AC41" s="884"/>
      <c r="AD41" s="884"/>
      <c r="AE41" s="884"/>
    </row>
    <row r="42" spans="1:31" ht="20.25" customHeight="1">
      <c r="A42" s="52"/>
      <c r="B42" s="884"/>
      <c r="C42" s="884"/>
      <c r="D42" s="884"/>
      <c r="E42" s="884"/>
      <c r="F42" s="884"/>
      <c r="G42" s="884"/>
      <c r="H42" s="884"/>
      <c r="I42" s="884"/>
      <c r="J42" s="884"/>
      <c r="K42" s="884"/>
      <c r="L42" s="884"/>
      <c r="M42" s="884"/>
      <c r="N42" s="884"/>
      <c r="O42" s="884"/>
      <c r="P42" s="884"/>
      <c r="Q42" s="56"/>
      <c r="R42" s="48"/>
      <c r="S42" s="753"/>
      <c r="T42" s="753"/>
      <c r="U42" s="753"/>
      <c r="V42" s="753"/>
      <c r="W42" s="884"/>
      <c r="X42" s="884"/>
      <c r="Y42" s="884"/>
      <c r="Z42" s="884"/>
      <c r="AA42" s="884"/>
      <c r="AB42" s="884"/>
      <c r="AC42" s="884"/>
      <c r="AD42" s="884"/>
      <c r="AE42" s="884"/>
    </row>
    <row r="43" spans="1:31" ht="20.25" customHeight="1">
      <c r="A43" s="52"/>
      <c r="B43" s="884"/>
      <c r="C43" s="884"/>
      <c r="D43" s="884"/>
      <c r="E43" s="884"/>
      <c r="F43" s="884"/>
      <c r="G43" s="884"/>
      <c r="H43" s="884"/>
      <c r="I43" s="884"/>
      <c r="J43" s="884"/>
      <c r="K43" s="884"/>
      <c r="L43" s="884"/>
      <c r="M43" s="884"/>
      <c r="N43" s="884"/>
      <c r="O43" s="884"/>
      <c r="P43" s="884"/>
      <c r="Q43" s="56"/>
      <c r="R43" s="48"/>
      <c r="S43" s="753"/>
      <c r="T43" s="753"/>
      <c r="U43" s="753"/>
      <c r="V43" s="753"/>
      <c r="W43" s="884"/>
      <c r="X43" s="884"/>
      <c r="Y43" s="884"/>
      <c r="Z43" s="884"/>
      <c r="AA43" s="884"/>
      <c r="AB43" s="884"/>
      <c r="AC43" s="884"/>
      <c r="AD43" s="884"/>
      <c r="AE43" s="884"/>
    </row>
    <row r="44" spans="1:31" ht="20.25" customHeight="1">
      <c r="A44" s="52"/>
      <c r="B44" s="884"/>
      <c r="C44" s="884"/>
      <c r="D44" s="884"/>
      <c r="E44" s="884"/>
      <c r="F44" s="884"/>
      <c r="G44" s="884"/>
      <c r="H44" s="884"/>
      <c r="I44" s="884"/>
      <c r="J44" s="884"/>
      <c r="K44" s="884"/>
      <c r="L44" s="884"/>
      <c r="M44" s="884"/>
      <c r="N44" s="884"/>
      <c r="O44" s="884"/>
      <c r="P44" s="884"/>
      <c r="Q44" s="56"/>
      <c r="R44" s="48"/>
      <c r="S44" s="753"/>
      <c r="T44" s="753"/>
      <c r="U44" s="753"/>
      <c r="V44" s="753"/>
      <c r="W44" s="884"/>
      <c r="X44" s="884"/>
      <c r="Y44" s="884"/>
      <c r="Z44" s="884"/>
      <c r="AA44" s="884"/>
      <c r="AB44" s="884"/>
      <c r="AC44" s="884"/>
      <c r="AD44" s="884"/>
      <c r="AE44" s="884"/>
    </row>
    <row r="45" spans="1:31" ht="20.25" customHeight="1">
      <c r="A45" s="52"/>
      <c r="B45" s="884"/>
      <c r="C45" s="884"/>
      <c r="D45" s="884"/>
      <c r="E45" s="884"/>
      <c r="F45" s="884"/>
      <c r="G45" s="884"/>
      <c r="H45" s="884"/>
      <c r="I45" s="884"/>
      <c r="J45" s="884"/>
      <c r="K45" s="884"/>
      <c r="L45" s="884"/>
      <c r="M45" s="884"/>
      <c r="N45" s="884"/>
      <c r="O45" s="884"/>
      <c r="P45" s="884"/>
      <c r="Q45" s="56"/>
      <c r="R45" s="48"/>
      <c r="S45" s="753"/>
      <c r="T45" s="753"/>
      <c r="U45" s="753"/>
      <c r="V45" s="753"/>
      <c r="W45" s="884"/>
      <c r="X45" s="884"/>
      <c r="Y45" s="884"/>
      <c r="Z45" s="884"/>
      <c r="AA45" s="884"/>
      <c r="AB45" s="884"/>
      <c r="AC45" s="884"/>
      <c r="AD45" s="884"/>
      <c r="AE45" s="884"/>
    </row>
    <row r="46" spans="1:31" ht="20.25" customHeight="1">
      <c r="A46" s="52"/>
      <c r="B46" s="884"/>
      <c r="C46" s="884"/>
      <c r="D46" s="884"/>
      <c r="E46" s="884"/>
      <c r="F46" s="884"/>
      <c r="G46" s="884"/>
      <c r="H46" s="884"/>
      <c r="I46" s="884"/>
      <c r="J46" s="884"/>
      <c r="K46" s="884"/>
      <c r="L46" s="884"/>
      <c r="M46" s="884"/>
      <c r="N46" s="884"/>
      <c r="O46" s="884"/>
      <c r="P46" s="884"/>
      <c r="Q46" s="56"/>
      <c r="R46" s="48"/>
      <c r="S46" s="753"/>
      <c r="T46" s="753"/>
      <c r="U46" s="753"/>
      <c r="V46" s="753"/>
      <c r="W46" s="884"/>
      <c r="X46" s="884"/>
      <c r="Y46" s="884"/>
      <c r="Z46" s="884"/>
      <c r="AA46" s="884"/>
      <c r="AB46" s="884"/>
      <c r="AC46" s="884"/>
      <c r="AD46" s="884"/>
      <c r="AE46" s="884"/>
    </row>
    <row r="47" spans="1:31" ht="20.25" customHeight="1">
      <c r="A47" s="52"/>
      <c r="B47" s="884"/>
      <c r="C47" s="884"/>
      <c r="D47" s="884"/>
      <c r="E47" s="884"/>
      <c r="F47" s="884"/>
      <c r="G47" s="884"/>
      <c r="H47" s="884"/>
      <c r="I47" s="884"/>
      <c r="J47" s="884"/>
      <c r="K47" s="884"/>
      <c r="L47" s="884"/>
      <c r="M47" s="884"/>
      <c r="N47" s="884"/>
      <c r="O47" s="884"/>
      <c r="P47" s="884"/>
      <c r="Q47" s="56"/>
      <c r="R47" s="48"/>
      <c r="S47" s="753"/>
      <c r="T47" s="753"/>
      <c r="U47" s="753"/>
      <c r="V47" s="753"/>
      <c r="W47" s="884"/>
      <c r="X47" s="884"/>
      <c r="Y47" s="884"/>
      <c r="Z47" s="884"/>
      <c r="AA47" s="884"/>
      <c r="AB47" s="884"/>
      <c r="AC47" s="884"/>
      <c r="AD47" s="884"/>
      <c r="AE47" s="884"/>
    </row>
    <row r="48" spans="1:31" ht="20.25" customHeight="1">
      <c r="A48" s="52"/>
      <c r="B48" s="884"/>
      <c r="C48" s="884"/>
      <c r="D48" s="884"/>
      <c r="E48" s="884"/>
      <c r="F48" s="884"/>
      <c r="G48" s="884"/>
      <c r="H48" s="884"/>
      <c r="I48" s="884"/>
      <c r="J48" s="884"/>
      <c r="K48" s="884"/>
      <c r="L48" s="884"/>
      <c r="M48" s="884"/>
      <c r="N48" s="884"/>
      <c r="O48" s="884"/>
      <c r="P48" s="884"/>
      <c r="Q48" s="56"/>
      <c r="R48" s="48"/>
      <c r="S48" s="753"/>
      <c r="T48" s="753"/>
      <c r="U48" s="753"/>
      <c r="V48" s="753"/>
      <c r="W48" s="884"/>
      <c r="X48" s="884"/>
      <c r="Y48" s="884"/>
      <c r="Z48" s="884"/>
      <c r="AA48" s="884"/>
      <c r="AB48" s="884"/>
      <c r="AC48" s="884"/>
      <c r="AD48" s="884"/>
      <c r="AE48" s="884"/>
    </row>
    <row r="49" spans="1:31" ht="20.25" customHeight="1">
      <c r="A49" s="52"/>
      <c r="B49" s="884"/>
      <c r="C49" s="884"/>
      <c r="D49" s="884"/>
      <c r="E49" s="884"/>
      <c r="F49" s="884"/>
      <c r="G49" s="884"/>
      <c r="H49" s="884"/>
      <c r="I49" s="884"/>
      <c r="J49" s="884"/>
      <c r="K49" s="884"/>
      <c r="L49" s="884"/>
      <c r="M49" s="884"/>
      <c r="N49" s="884"/>
      <c r="O49" s="884"/>
      <c r="P49" s="884"/>
      <c r="Q49" s="56"/>
      <c r="R49" s="48"/>
      <c r="S49" s="753"/>
      <c r="T49" s="753"/>
      <c r="U49" s="753"/>
      <c r="V49" s="753"/>
      <c r="W49" s="884"/>
      <c r="X49" s="884"/>
      <c r="Y49" s="884"/>
      <c r="Z49" s="884"/>
      <c r="AA49" s="884"/>
      <c r="AB49" s="884"/>
      <c r="AC49" s="884"/>
      <c r="AD49" s="884"/>
      <c r="AE49" s="884"/>
    </row>
    <row r="50" spans="1:31" ht="20.25" customHeight="1">
      <c r="A50" s="52"/>
      <c r="B50" s="884"/>
      <c r="C50" s="884"/>
      <c r="D50" s="884"/>
      <c r="E50" s="884"/>
      <c r="F50" s="884"/>
      <c r="G50" s="884"/>
      <c r="H50" s="884"/>
      <c r="I50" s="884"/>
      <c r="J50" s="884"/>
      <c r="K50" s="884"/>
      <c r="L50" s="884"/>
      <c r="M50" s="884"/>
      <c r="N50" s="884"/>
      <c r="O50" s="884"/>
      <c r="P50" s="884"/>
      <c r="Q50" s="56"/>
      <c r="R50" s="48"/>
      <c r="S50" s="753"/>
      <c r="T50" s="753"/>
      <c r="U50" s="753"/>
      <c r="V50" s="753"/>
      <c r="W50" s="884"/>
      <c r="X50" s="884"/>
      <c r="Y50" s="884"/>
      <c r="Z50" s="884"/>
      <c r="AA50" s="884"/>
      <c r="AB50" s="884"/>
      <c r="AC50" s="884"/>
      <c r="AD50" s="884"/>
      <c r="AE50" s="884"/>
    </row>
    <row r="51" spans="1:31" ht="20.25" customHeight="1">
      <c r="A51" s="52"/>
      <c r="B51" s="884"/>
      <c r="C51" s="884"/>
      <c r="D51" s="884"/>
      <c r="E51" s="884"/>
      <c r="F51" s="884"/>
      <c r="G51" s="884"/>
      <c r="H51" s="884"/>
      <c r="I51" s="884"/>
      <c r="J51" s="884"/>
      <c r="K51" s="884"/>
      <c r="L51" s="884"/>
      <c r="M51" s="884"/>
      <c r="N51" s="884"/>
      <c r="O51" s="884"/>
      <c r="P51" s="884"/>
      <c r="Q51" s="56"/>
      <c r="R51" s="48"/>
      <c r="S51" s="753"/>
      <c r="T51" s="753"/>
      <c r="U51" s="753"/>
      <c r="V51" s="753"/>
      <c r="W51" s="884"/>
      <c r="X51" s="884"/>
      <c r="Y51" s="884"/>
      <c r="Z51" s="884"/>
      <c r="AA51" s="884"/>
      <c r="AB51" s="884"/>
      <c r="AC51" s="884"/>
      <c r="AD51" s="884"/>
      <c r="AE51" s="884"/>
    </row>
    <row r="52" spans="1:31" ht="20.25" customHeight="1" thickBot="1">
      <c r="A52" s="53"/>
      <c r="B52" s="885"/>
      <c r="C52" s="885"/>
      <c r="D52" s="885"/>
      <c r="E52" s="885"/>
      <c r="F52" s="885"/>
      <c r="G52" s="885"/>
      <c r="H52" s="885"/>
      <c r="I52" s="885"/>
      <c r="J52" s="885"/>
      <c r="K52" s="885"/>
      <c r="L52" s="885"/>
      <c r="M52" s="885"/>
      <c r="N52" s="885"/>
      <c r="O52" s="885"/>
      <c r="P52" s="885"/>
      <c r="Q52" s="57"/>
      <c r="R52" s="58"/>
      <c r="S52" s="788"/>
      <c r="T52" s="788"/>
      <c r="U52" s="788"/>
      <c r="V52" s="788"/>
      <c r="W52" s="885"/>
      <c r="X52" s="885"/>
      <c r="Y52" s="885"/>
      <c r="Z52" s="885"/>
      <c r="AA52" s="885"/>
      <c r="AB52" s="885"/>
      <c r="AC52" s="885"/>
      <c r="AD52" s="885"/>
      <c r="AE52" s="885"/>
    </row>
    <row r="53" spans="1:31" ht="7.5" customHeight="1" thickBo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row>
    <row r="54" spans="1:31">
      <c r="A54" s="45"/>
      <c r="B54" s="45"/>
      <c r="C54" s="45"/>
      <c r="D54" s="45"/>
      <c r="E54" s="45"/>
      <c r="F54" s="45"/>
      <c r="G54" s="45"/>
      <c r="H54" s="45"/>
      <c r="I54" s="45"/>
      <c r="J54" s="45"/>
      <c r="K54" s="45"/>
      <c r="L54" s="45"/>
      <c r="M54" s="45"/>
      <c r="N54" s="679" t="str">
        <f>VLOOKUP("signature",Translations!$A:$T,MATCH(PSW!AO7,Translations!A1:P1,0),0)</f>
        <v>SIGNATURE</v>
      </c>
      <c r="O54" s="680"/>
      <c r="P54" s="680"/>
      <c r="Q54" s="680"/>
      <c r="R54" s="680"/>
      <c r="S54" s="680"/>
      <c r="T54" s="680"/>
      <c r="U54" s="681"/>
      <c r="V54" s="694" t="str">
        <f>VLOOKUP("title1",Translations!$A:$T,MATCH(PSW!AO7,Translations!A1:P1,0),0)</f>
        <v>TITLE</v>
      </c>
      <c r="W54" s="680"/>
      <c r="X54" s="680"/>
      <c r="Y54" s="680"/>
      <c r="Z54" s="680"/>
      <c r="AA54" s="680"/>
      <c r="AB54" s="680"/>
      <c r="AC54" s="681"/>
      <c r="AD54" s="680" t="str">
        <f>VLOOKUP("date1",Translations!$A:$T,MATCH(PSW!AO7,Translations!A1:P1,0),0)</f>
        <v>DATE</v>
      </c>
      <c r="AE54" s="704"/>
    </row>
    <row r="55" spans="1:31" ht="18" customHeight="1">
      <c r="A55" s="45"/>
      <c r="B55" s="45"/>
      <c r="C55" s="45"/>
      <c r="D55" s="45"/>
      <c r="E55" s="45"/>
      <c r="F55" s="45"/>
      <c r="G55" s="45"/>
      <c r="H55" s="45"/>
      <c r="I55" s="45"/>
      <c r="J55" s="45"/>
      <c r="K55" s="45"/>
      <c r="L55" s="45"/>
      <c r="M55" s="45"/>
      <c r="N55" s="842"/>
      <c r="O55" s="843"/>
      <c r="P55" s="843"/>
      <c r="Q55" s="843"/>
      <c r="R55" s="843"/>
      <c r="S55" s="843"/>
      <c r="T55" s="843"/>
      <c r="U55" s="843"/>
      <c r="V55" s="879"/>
      <c r="W55" s="843"/>
      <c r="X55" s="843"/>
      <c r="Y55" s="843"/>
      <c r="Z55" s="843"/>
      <c r="AA55" s="843"/>
      <c r="AB55" s="843"/>
      <c r="AC55" s="880"/>
      <c r="AD55" s="737"/>
      <c r="AE55" s="889"/>
    </row>
    <row r="56" spans="1:31" ht="24" customHeight="1" thickBot="1">
      <c r="A56" s="45"/>
      <c r="B56" s="45"/>
      <c r="C56" s="45"/>
      <c r="D56" s="45"/>
      <c r="E56" s="45"/>
      <c r="F56" s="45"/>
      <c r="G56" s="45"/>
      <c r="H56" s="45"/>
      <c r="I56" s="45"/>
      <c r="J56" s="45"/>
      <c r="K56" s="45"/>
      <c r="L56" s="45"/>
      <c r="M56" s="45"/>
      <c r="N56" s="844"/>
      <c r="O56" s="845"/>
      <c r="P56" s="845"/>
      <c r="Q56" s="845"/>
      <c r="R56" s="845"/>
      <c r="S56" s="845"/>
      <c r="T56" s="845"/>
      <c r="U56" s="845"/>
      <c r="V56" s="881"/>
      <c r="W56" s="845"/>
      <c r="X56" s="845"/>
      <c r="Y56" s="845"/>
      <c r="Z56" s="845"/>
      <c r="AA56" s="845"/>
      <c r="AB56" s="845"/>
      <c r="AC56" s="882"/>
      <c r="AD56" s="740"/>
      <c r="AE56" s="872"/>
    </row>
  </sheetData>
  <sheetProtection algorithmName="SHA-512" hashValue="bGfvH3e4R8oUi7GS156jHPQnUDoBxXLmzRBR58+c2qoXohg8P76XKrIC5YAa8yMkthw5tiMXvCMAtfw43/Qt4A==" saltValue="qpCu8sTiVTyO59PfwQRgxw==" spinCount="100000" sheet="1" scenarios="1" formatCells="0" formatColumns="0" formatRows="0" insertColumns="0" insertRows="0" deleteColumns="0" deleteRows="0" selectLockedCells="1"/>
  <mergeCells count="232">
    <mergeCell ref="P1:AD3"/>
    <mergeCell ref="N55:U56"/>
    <mergeCell ref="V55:AC56"/>
    <mergeCell ref="AD55:AE56"/>
    <mergeCell ref="R6:AE6"/>
    <mergeCell ref="R7:AE7"/>
    <mergeCell ref="R8:AE8"/>
    <mergeCell ref="J19:P19"/>
    <mergeCell ref="J22:P22"/>
    <mergeCell ref="J23:P23"/>
    <mergeCell ref="U23:V23"/>
    <mergeCell ref="W23:AE23"/>
    <mergeCell ref="J31:P31"/>
    <mergeCell ref="J32:P32"/>
    <mergeCell ref="J41:P41"/>
    <mergeCell ref="J42:P42"/>
    <mergeCell ref="J50:P50"/>
    <mergeCell ref="U52:V52"/>
    <mergeCell ref="S28:T28"/>
    <mergeCell ref="S29:T29"/>
    <mergeCell ref="W20:AE20"/>
    <mergeCell ref="R9:AE9"/>
    <mergeCell ref="W10:AE11"/>
    <mergeCell ref="S10:T11"/>
    <mergeCell ref="U10:V11"/>
    <mergeCell ref="J10:P11"/>
    <mergeCell ref="B15:I15"/>
    <mergeCell ref="B14:I14"/>
    <mergeCell ref="AD54:AE54"/>
    <mergeCell ref="V54:AC54"/>
    <mergeCell ref="N54:U54"/>
    <mergeCell ref="A4:D4"/>
    <mergeCell ref="E4:Q4"/>
    <mergeCell ref="R4:U4"/>
    <mergeCell ref="V4:AE4"/>
    <mergeCell ref="A5:G5"/>
    <mergeCell ref="H5:Q5"/>
    <mergeCell ref="R5:V5"/>
    <mergeCell ref="W5:AE5"/>
    <mergeCell ref="B19:I19"/>
    <mergeCell ref="U19:V19"/>
    <mergeCell ref="B18:I18"/>
    <mergeCell ref="J17:P17"/>
    <mergeCell ref="J18:P18"/>
    <mergeCell ref="B17:I17"/>
    <mergeCell ref="B16:I16"/>
    <mergeCell ref="S18:T18"/>
    <mergeCell ref="J33:P33"/>
    <mergeCell ref="B33:I33"/>
    <mergeCell ref="B32:I32"/>
    <mergeCell ref="S19:T19"/>
    <mergeCell ref="S17:T17"/>
    <mergeCell ref="J25:P25"/>
    <mergeCell ref="B24:I24"/>
    <mergeCell ref="B23:I23"/>
    <mergeCell ref="B22:I22"/>
    <mergeCell ref="B21:I21"/>
    <mergeCell ref="J20:P20"/>
    <mergeCell ref="J21:P21"/>
    <mergeCell ref="B20:I20"/>
    <mergeCell ref="S20:T20"/>
    <mergeCell ref="S21:T21"/>
    <mergeCell ref="S22:T22"/>
    <mergeCell ref="B38:I38"/>
    <mergeCell ref="J37:P37"/>
    <mergeCell ref="J38:P38"/>
    <mergeCell ref="B37:I37"/>
    <mergeCell ref="B36:I36"/>
    <mergeCell ref="J35:P35"/>
    <mergeCell ref="J36:P36"/>
    <mergeCell ref="B35:I35"/>
    <mergeCell ref="B34:I34"/>
    <mergeCell ref="J34:P34"/>
    <mergeCell ref="J43:P43"/>
    <mergeCell ref="J44:P44"/>
    <mergeCell ref="B43:I43"/>
    <mergeCell ref="B42:I42"/>
    <mergeCell ref="B41:I41"/>
    <mergeCell ref="B40:I40"/>
    <mergeCell ref="J39:P39"/>
    <mergeCell ref="J40:P40"/>
    <mergeCell ref="B39:I39"/>
    <mergeCell ref="B48:I48"/>
    <mergeCell ref="J47:P47"/>
    <mergeCell ref="J48:P48"/>
    <mergeCell ref="B47:I47"/>
    <mergeCell ref="B46:I46"/>
    <mergeCell ref="J45:P45"/>
    <mergeCell ref="J46:P46"/>
    <mergeCell ref="B45:I45"/>
    <mergeCell ref="B44:I44"/>
    <mergeCell ref="B52:I52"/>
    <mergeCell ref="J51:P51"/>
    <mergeCell ref="J52:P52"/>
    <mergeCell ref="B51:I51"/>
    <mergeCell ref="S51:T51"/>
    <mergeCell ref="S52:T52"/>
    <mergeCell ref="B50:I50"/>
    <mergeCell ref="J49:P49"/>
    <mergeCell ref="B49:I49"/>
    <mergeCell ref="W12:AE12"/>
    <mergeCell ref="W13:AE13"/>
    <mergeCell ref="W14:AE14"/>
    <mergeCell ref="W15:AE15"/>
    <mergeCell ref="S32:T32"/>
    <mergeCell ref="S33:T33"/>
    <mergeCell ref="S23:T23"/>
    <mergeCell ref="S24:T24"/>
    <mergeCell ref="S25:T25"/>
    <mergeCell ref="S26:T26"/>
    <mergeCell ref="S27:T27"/>
    <mergeCell ref="W28:AE28"/>
    <mergeCell ref="W29:AE29"/>
    <mergeCell ref="W30:AE30"/>
    <mergeCell ref="W31:AE31"/>
    <mergeCell ref="W33:AE33"/>
    <mergeCell ref="S12:T12"/>
    <mergeCell ref="S13:T13"/>
    <mergeCell ref="S14:T14"/>
    <mergeCell ref="S15:T15"/>
    <mergeCell ref="U12:V12"/>
    <mergeCell ref="U13:V13"/>
    <mergeCell ref="U14:V14"/>
    <mergeCell ref="U21:V21"/>
    <mergeCell ref="A10:A11"/>
    <mergeCell ref="J12:P12"/>
    <mergeCell ref="J13:P13"/>
    <mergeCell ref="J14:P14"/>
    <mergeCell ref="J15:P15"/>
    <mergeCell ref="J16:P16"/>
    <mergeCell ref="S16:T16"/>
    <mergeCell ref="B31:I31"/>
    <mergeCell ref="B30:I30"/>
    <mergeCell ref="J29:P29"/>
    <mergeCell ref="J30:P30"/>
    <mergeCell ref="B29:I29"/>
    <mergeCell ref="B28:I28"/>
    <mergeCell ref="J28:P28"/>
    <mergeCell ref="B27:I27"/>
    <mergeCell ref="J26:P26"/>
    <mergeCell ref="J27:P27"/>
    <mergeCell ref="B13:I13"/>
    <mergeCell ref="B12:I12"/>
    <mergeCell ref="Q10:R10"/>
    <mergeCell ref="B10:I11"/>
    <mergeCell ref="B26:I26"/>
    <mergeCell ref="B25:I25"/>
    <mergeCell ref="J24:P24"/>
    <mergeCell ref="S47:T47"/>
    <mergeCell ref="S48:T48"/>
    <mergeCell ref="S49:T49"/>
    <mergeCell ref="S50:T50"/>
    <mergeCell ref="S40:T40"/>
    <mergeCell ref="S41:T41"/>
    <mergeCell ref="S42:T42"/>
    <mergeCell ref="S43:T43"/>
    <mergeCell ref="S44:T44"/>
    <mergeCell ref="S45:T45"/>
    <mergeCell ref="S35:T35"/>
    <mergeCell ref="S36:T36"/>
    <mergeCell ref="S37:T37"/>
    <mergeCell ref="S38:T38"/>
    <mergeCell ref="S39:T39"/>
    <mergeCell ref="S30:T30"/>
    <mergeCell ref="S31:T31"/>
    <mergeCell ref="S46:T46"/>
    <mergeCell ref="U32:V32"/>
    <mergeCell ref="U33:V33"/>
    <mergeCell ref="U34:V34"/>
    <mergeCell ref="U35:V35"/>
    <mergeCell ref="U42:V42"/>
    <mergeCell ref="U36:V36"/>
    <mergeCell ref="S34:T34"/>
    <mergeCell ref="U15:V15"/>
    <mergeCell ref="U16:V16"/>
    <mergeCell ref="U17:V17"/>
    <mergeCell ref="U18:V18"/>
    <mergeCell ref="U25:V25"/>
    <mergeCell ref="U26:V26"/>
    <mergeCell ref="U27:V27"/>
    <mergeCell ref="U28:V28"/>
    <mergeCell ref="U29:V29"/>
    <mergeCell ref="U20:V20"/>
    <mergeCell ref="U24:V24"/>
    <mergeCell ref="W52:AE52"/>
    <mergeCell ref="U51:V51"/>
    <mergeCell ref="W51:AE51"/>
    <mergeCell ref="W34:AE34"/>
    <mergeCell ref="W35:AE35"/>
    <mergeCell ref="U37:V37"/>
    <mergeCell ref="U38:V38"/>
    <mergeCell ref="W16:AE16"/>
    <mergeCell ref="W17:AE17"/>
    <mergeCell ref="W18:AE18"/>
    <mergeCell ref="W19:AE19"/>
    <mergeCell ref="W24:AE24"/>
    <mergeCell ref="W25:AE25"/>
    <mergeCell ref="W26:AE26"/>
    <mergeCell ref="W32:AE32"/>
    <mergeCell ref="W36:AE36"/>
    <mergeCell ref="W37:AE37"/>
    <mergeCell ref="W27:AE27"/>
    <mergeCell ref="U22:V22"/>
    <mergeCell ref="W21:AE21"/>
    <mergeCell ref="W22:AE22"/>
    <mergeCell ref="U39:V39"/>
    <mergeCell ref="U40:V40"/>
    <mergeCell ref="U41:V41"/>
    <mergeCell ref="A6:Q9"/>
    <mergeCell ref="W50:AE50"/>
    <mergeCell ref="W44:AE44"/>
    <mergeCell ref="W45:AE45"/>
    <mergeCell ref="W46:AE46"/>
    <mergeCell ref="W47:AE47"/>
    <mergeCell ref="W48:AE48"/>
    <mergeCell ref="W49:AE49"/>
    <mergeCell ref="W38:AE38"/>
    <mergeCell ref="W39:AE39"/>
    <mergeCell ref="W40:AE40"/>
    <mergeCell ref="W41:AE41"/>
    <mergeCell ref="U48:V48"/>
    <mergeCell ref="U49:V49"/>
    <mergeCell ref="W42:AE42"/>
    <mergeCell ref="W43:AE43"/>
    <mergeCell ref="U43:V43"/>
    <mergeCell ref="U44:V44"/>
    <mergeCell ref="U45:V45"/>
    <mergeCell ref="U46:V46"/>
    <mergeCell ref="U47:V47"/>
    <mergeCell ref="U50:V50"/>
    <mergeCell ref="U30:V30"/>
    <mergeCell ref="U31:V31"/>
  </mergeCells>
  <printOptions horizontalCentered="1"/>
  <pageMargins left="0.6692913385826772" right="0.59055118110236227" top="0.9055118110236221" bottom="0.62992125984251968" header="0.31496062992125984" footer="0.31496062992125984"/>
  <pageSetup paperSize="9" scale="71" orientation="portrait" r:id="rId1"/>
  <headerFooter>
    <oddHeader>&amp;R&amp;G</oddHeader>
    <oddFooter>&amp;LMHG-PU-F-0018&amp;CPPAP Template ; Rev.: 01/2019&amp;RJ.-U. Liedtke / PU-SD-GA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AN89"/>
  <sheetViews>
    <sheetView showGridLines="0" zoomScaleNormal="100" zoomScalePageLayoutView="90" workbookViewId="0">
      <selection activeCell="U7" sqref="U7:AN7"/>
    </sheetView>
  </sheetViews>
  <sheetFormatPr baseColWidth="10" defaultColWidth="1.42578125" defaultRowHeight="12.75"/>
  <cols>
    <col min="1" max="2" width="0.7109375" customWidth="1"/>
    <col min="3" max="3" width="3.42578125" customWidth="1"/>
    <col min="4" max="4" width="0.7109375" customWidth="1"/>
    <col min="5" max="5" width="4.42578125" customWidth="1"/>
    <col min="6" max="6" width="7.5703125" customWidth="1"/>
    <col min="7" max="7" width="6.7109375" customWidth="1"/>
    <col min="8" max="8" width="4.42578125" customWidth="1"/>
    <col min="9" max="9" width="3.42578125" customWidth="1"/>
    <col min="10" max="10" width="3.28515625" customWidth="1"/>
    <col min="11" max="11" width="3.42578125" customWidth="1"/>
    <col min="12" max="12" width="4.7109375" customWidth="1"/>
    <col min="13" max="13" width="3.28515625" customWidth="1"/>
    <col min="14" max="14" width="3.42578125" customWidth="1"/>
    <col min="15" max="15" width="2.7109375" customWidth="1"/>
    <col min="16" max="16" width="2.28515625" customWidth="1"/>
    <col min="17" max="17" width="1.85546875" customWidth="1"/>
    <col min="18" max="18" width="2" customWidth="1"/>
    <col min="19" max="19" width="2.5703125" customWidth="1"/>
    <col min="20" max="20" width="3.28515625" customWidth="1"/>
    <col min="21" max="21" width="5.85546875" customWidth="1"/>
    <col min="22" max="24" width="3.42578125" customWidth="1"/>
    <col min="25" max="25" width="4.140625" customWidth="1"/>
    <col min="26" max="26" width="5" customWidth="1"/>
    <col min="27" max="27" width="1.85546875" customWidth="1"/>
    <col min="28" max="30" width="3.42578125" customWidth="1"/>
    <col min="31" max="31" width="3" customWidth="1"/>
    <col min="32" max="32" width="6.42578125" customWidth="1"/>
    <col min="33" max="33" width="4.7109375" customWidth="1"/>
    <col min="34" max="34" width="3.42578125" customWidth="1"/>
    <col min="35" max="35" width="5" customWidth="1"/>
    <col min="36" max="37" width="2.85546875" customWidth="1"/>
    <col min="38" max="38" width="4.7109375" customWidth="1"/>
  </cols>
  <sheetData>
    <row r="1" spans="1:40" ht="12.75" customHeight="1">
      <c r="C1" s="46"/>
      <c r="D1" s="46"/>
      <c r="E1" s="46"/>
      <c r="F1" s="46"/>
      <c r="G1" s="46"/>
      <c r="H1" s="46"/>
      <c r="I1" s="46"/>
      <c r="J1" s="46"/>
      <c r="K1" s="46"/>
      <c r="L1" s="46"/>
      <c r="M1" s="46"/>
      <c r="N1" s="46"/>
      <c r="O1" s="46"/>
      <c r="P1" s="46"/>
      <c r="Q1" s="46"/>
      <c r="R1" s="46"/>
      <c r="S1" s="112"/>
      <c r="T1" s="112"/>
      <c r="U1" s="559" t="str">
        <f>VLOOKUP("ppapselfproduct",Translations!$A:$T,MATCH(PSW!AO7,Translations!A1:P1,0),0)</f>
        <v>Production Part Approval
Self Assessment Product</v>
      </c>
      <c r="V1" s="559"/>
      <c r="W1" s="559"/>
      <c r="X1" s="559"/>
      <c r="Y1" s="559"/>
      <c r="Z1" s="559"/>
      <c r="AA1" s="559"/>
      <c r="AB1" s="559"/>
      <c r="AC1" s="559"/>
      <c r="AD1" s="559"/>
      <c r="AE1" s="559"/>
      <c r="AF1" s="112"/>
      <c r="AG1" s="112"/>
      <c r="AH1" s="112"/>
    </row>
    <row r="2" spans="1:40" ht="12.75" customHeight="1">
      <c r="C2" s="46"/>
      <c r="D2" s="46"/>
      <c r="E2" s="46"/>
      <c r="F2" s="46"/>
      <c r="G2" s="46"/>
      <c r="H2" s="46"/>
      <c r="I2" s="46"/>
      <c r="J2" s="46"/>
      <c r="K2" s="46"/>
      <c r="L2" s="46"/>
      <c r="M2" s="46"/>
      <c r="N2" s="46"/>
      <c r="O2" s="46"/>
      <c r="P2" s="46"/>
      <c r="Q2" s="46"/>
      <c r="R2" s="46"/>
      <c r="S2" s="112"/>
      <c r="T2" s="112"/>
      <c r="U2" s="559"/>
      <c r="V2" s="559"/>
      <c r="W2" s="559"/>
      <c r="X2" s="559"/>
      <c r="Y2" s="559"/>
      <c r="Z2" s="559"/>
      <c r="AA2" s="559"/>
      <c r="AB2" s="559"/>
      <c r="AC2" s="559"/>
      <c r="AD2" s="559"/>
      <c r="AE2" s="559"/>
      <c r="AF2" s="112"/>
      <c r="AG2" s="112"/>
      <c r="AH2" s="112"/>
    </row>
    <row r="3" spans="1:40" ht="13.5" customHeight="1" thickBot="1">
      <c r="C3" s="47"/>
      <c r="D3" s="47"/>
      <c r="E3" s="47"/>
      <c r="F3" s="47"/>
      <c r="G3" s="47"/>
      <c r="H3" s="47"/>
      <c r="I3" s="47"/>
      <c r="J3" s="47"/>
      <c r="K3" s="47"/>
      <c r="L3" s="47"/>
      <c r="M3" s="47"/>
      <c r="N3" s="47"/>
      <c r="O3" s="47"/>
      <c r="P3" s="47"/>
      <c r="Q3" s="47"/>
      <c r="R3" s="47"/>
      <c r="S3" s="113"/>
      <c r="T3" s="113"/>
      <c r="U3" s="560"/>
      <c r="V3" s="560"/>
      <c r="W3" s="560"/>
      <c r="X3" s="560"/>
      <c r="Y3" s="560"/>
      <c r="Z3" s="560"/>
      <c r="AA3" s="560"/>
      <c r="AB3" s="560"/>
      <c r="AC3" s="560"/>
      <c r="AD3" s="560"/>
      <c r="AE3" s="560"/>
      <c r="AF3" s="113"/>
      <c r="AG3" s="112"/>
      <c r="AH3" s="112"/>
    </row>
    <row r="4" spans="1:40" ht="13.5" customHeight="1">
      <c r="A4" s="495" t="str">
        <f>'MAT Test'!A4</f>
        <v>ORGANIZATION:</v>
      </c>
      <c r="B4" s="496"/>
      <c r="C4" s="496"/>
      <c r="D4" s="496"/>
      <c r="E4" s="496"/>
      <c r="F4" s="496"/>
      <c r="G4" s="989" t="str">
        <f>Content!H4</f>
        <v>?</v>
      </c>
      <c r="H4" s="989"/>
      <c r="I4" s="989"/>
      <c r="J4" s="989"/>
      <c r="K4" s="989"/>
      <c r="L4" s="989"/>
      <c r="M4" s="989"/>
      <c r="N4" s="989"/>
      <c r="O4" s="989"/>
      <c r="P4" s="989"/>
      <c r="Q4" s="989"/>
      <c r="R4" s="989"/>
      <c r="S4" s="989"/>
      <c r="T4" s="990"/>
      <c r="U4" s="495" t="str">
        <f>'MAT Test'!R4</f>
        <v>PART NUMBER:</v>
      </c>
      <c r="V4" s="496"/>
      <c r="W4" s="496"/>
      <c r="X4" s="496"/>
      <c r="Y4" s="569" t="str">
        <f>'DIM Test'!X4</f>
        <v>?</v>
      </c>
      <c r="Z4" s="569"/>
      <c r="AA4" s="569"/>
      <c r="AB4" s="569"/>
      <c r="AC4" s="569"/>
      <c r="AD4" s="569"/>
      <c r="AE4" s="569"/>
      <c r="AF4" s="569"/>
      <c r="AG4" s="569"/>
      <c r="AH4" s="569"/>
      <c r="AI4" s="569"/>
      <c r="AJ4" s="569"/>
      <c r="AK4" s="569"/>
      <c r="AL4" s="569"/>
      <c r="AM4" s="569"/>
      <c r="AN4" s="570"/>
    </row>
    <row r="5" spans="1:40" ht="13.5" customHeight="1">
      <c r="A5" s="991" t="str">
        <f>'MAT Test'!A5</f>
        <v>SUPPLIER / VENDOR CODE:</v>
      </c>
      <c r="B5" s="992"/>
      <c r="C5" s="992"/>
      <c r="D5" s="992"/>
      <c r="E5" s="992"/>
      <c r="F5" s="992"/>
      <c r="G5" s="992"/>
      <c r="H5" s="992"/>
      <c r="I5" s="993" t="str">
        <f>'DIM Test'!I5</f>
        <v>?</v>
      </c>
      <c r="J5" s="993"/>
      <c r="K5" s="993"/>
      <c r="L5" s="993"/>
      <c r="M5" s="993"/>
      <c r="N5" s="993"/>
      <c r="O5" s="993"/>
      <c r="P5" s="993"/>
      <c r="Q5" s="993"/>
      <c r="R5" s="993"/>
      <c r="S5" s="993"/>
      <c r="T5" s="994"/>
      <c r="U5" s="534" t="str">
        <f>'MAT Test'!R5</f>
        <v>PART NAME:</v>
      </c>
      <c r="V5" s="535"/>
      <c r="W5" s="535"/>
      <c r="X5" s="535"/>
      <c r="Y5" s="535"/>
      <c r="Z5" s="536" t="str">
        <f>'DIM Test'!Y5</f>
        <v>?</v>
      </c>
      <c r="AA5" s="536"/>
      <c r="AB5" s="536"/>
      <c r="AC5" s="536"/>
      <c r="AD5" s="536"/>
      <c r="AE5" s="536"/>
      <c r="AF5" s="536"/>
      <c r="AG5" s="536"/>
      <c r="AH5" s="536"/>
      <c r="AI5" s="536"/>
      <c r="AJ5" s="536"/>
      <c r="AK5" s="536"/>
      <c r="AL5" s="536"/>
      <c r="AM5" s="536"/>
      <c r="AN5" s="537"/>
    </row>
    <row r="6" spans="1:40" ht="13.5" customHeight="1">
      <c r="A6" s="575"/>
      <c r="B6" s="576"/>
      <c r="C6" s="576"/>
      <c r="D6" s="576"/>
      <c r="E6" s="576"/>
      <c r="F6" s="576"/>
      <c r="G6" s="576"/>
      <c r="H6" s="576"/>
      <c r="I6" s="576"/>
      <c r="J6" s="576"/>
      <c r="K6" s="576"/>
      <c r="L6" s="576"/>
      <c r="M6" s="576"/>
      <c r="N6" s="576"/>
      <c r="O6" s="576"/>
      <c r="P6" s="576"/>
      <c r="Q6" s="576"/>
      <c r="R6" s="576"/>
      <c r="S6" s="576"/>
      <c r="T6" s="577"/>
      <c r="U6" s="534" t="str">
        <f>'MAT Test'!R6</f>
        <v>DESIGN RECORD CHANGE LEVEL:</v>
      </c>
      <c r="V6" s="535"/>
      <c r="W6" s="535"/>
      <c r="X6" s="535"/>
      <c r="Y6" s="535"/>
      <c r="Z6" s="535"/>
      <c r="AA6" s="535"/>
      <c r="AB6" s="535"/>
      <c r="AC6" s="535"/>
      <c r="AD6" s="535"/>
      <c r="AE6" s="535"/>
      <c r="AF6" s="535"/>
      <c r="AG6" s="535"/>
      <c r="AH6" s="535"/>
      <c r="AI6" s="535"/>
      <c r="AJ6" s="535"/>
      <c r="AK6" s="535"/>
      <c r="AL6" s="535"/>
      <c r="AM6" s="535"/>
      <c r="AN6" s="564"/>
    </row>
    <row r="7" spans="1:40" ht="13.5" customHeight="1">
      <c r="A7" s="578"/>
      <c r="B7" s="579"/>
      <c r="C7" s="579"/>
      <c r="D7" s="579"/>
      <c r="E7" s="579"/>
      <c r="F7" s="579"/>
      <c r="G7" s="579"/>
      <c r="H7" s="579"/>
      <c r="I7" s="579"/>
      <c r="J7" s="579"/>
      <c r="K7" s="579"/>
      <c r="L7" s="579"/>
      <c r="M7" s="579"/>
      <c r="N7" s="579"/>
      <c r="O7" s="579"/>
      <c r="P7" s="579"/>
      <c r="Q7" s="579"/>
      <c r="R7" s="579"/>
      <c r="S7" s="579"/>
      <c r="T7" s="580"/>
      <c r="U7" s="565" t="str">
        <f>'DIM Test'!S7</f>
        <v>?</v>
      </c>
      <c r="V7" s="599"/>
      <c r="W7" s="599"/>
      <c r="X7" s="599"/>
      <c r="Y7" s="599"/>
      <c r="Z7" s="599"/>
      <c r="AA7" s="599"/>
      <c r="AB7" s="599"/>
      <c r="AC7" s="599"/>
      <c r="AD7" s="599"/>
      <c r="AE7" s="599"/>
      <c r="AF7" s="599"/>
      <c r="AG7" s="599"/>
      <c r="AH7" s="599"/>
      <c r="AI7" s="599"/>
      <c r="AJ7" s="599"/>
      <c r="AK7" s="599"/>
      <c r="AL7" s="599"/>
      <c r="AM7" s="599"/>
      <c r="AN7" s="600"/>
    </row>
    <row r="8" spans="1:40" ht="13.5" customHeight="1">
      <c r="A8" s="578"/>
      <c r="B8" s="579"/>
      <c r="C8" s="579"/>
      <c r="D8" s="579"/>
      <c r="E8" s="579"/>
      <c r="F8" s="579"/>
      <c r="G8" s="579"/>
      <c r="H8" s="579"/>
      <c r="I8" s="579"/>
      <c r="J8" s="579"/>
      <c r="K8" s="579"/>
      <c r="L8" s="579"/>
      <c r="M8" s="579"/>
      <c r="N8" s="579"/>
      <c r="O8" s="579"/>
      <c r="P8" s="579"/>
      <c r="Q8" s="579"/>
      <c r="R8" s="579"/>
      <c r="S8" s="579"/>
      <c r="T8" s="580"/>
      <c r="U8" s="986" t="str">
        <f>'MAT Test'!R8</f>
        <v>ENGINEERING CHANGE DOCUMENTS:</v>
      </c>
      <c r="V8" s="987"/>
      <c r="W8" s="987"/>
      <c r="X8" s="987"/>
      <c r="Y8" s="987"/>
      <c r="Z8" s="987"/>
      <c r="AA8" s="987"/>
      <c r="AB8" s="987"/>
      <c r="AC8" s="987"/>
      <c r="AD8" s="987"/>
      <c r="AE8" s="987"/>
      <c r="AF8" s="987"/>
      <c r="AG8" s="987"/>
      <c r="AH8" s="987"/>
      <c r="AI8" s="987"/>
      <c r="AJ8" s="987"/>
      <c r="AK8" s="987"/>
      <c r="AL8" s="987"/>
      <c r="AM8" s="987"/>
      <c r="AN8" s="988"/>
    </row>
    <row r="9" spans="1:40" ht="13.5" customHeight="1">
      <c r="A9" s="578"/>
      <c r="B9" s="579"/>
      <c r="C9" s="579"/>
      <c r="D9" s="579"/>
      <c r="E9" s="579"/>
      <c r="F9" s="579"/>
      <c r="G9" s="579"/>
      <c r="H9" s="579"/>
      <c r="I9" s="579"/>
      <c r="J9" s="579"/>
      <c r="K9" s="579"/>
      <c r="L9" s="579"/>
      <c r="M9" s="579"/>
      <c r="N9" s="579"/>
      <c r="O9" s="579"/>
      <c r="P9" s="579"/>
      <c r="Q9" s="579"/>
      <c r="R9" s="579"/>
      <c r="S9" s="579"/>
      <c r="T9" s="580"/>
      <c r="U9" s="565" t="str">
        <f>'DIM Test'!S9</f>
        <v>?</v>
      </c>
      <c r="V9" s="599"/>
      <c r="W9" s="599"/>
      <c r="X9" s="599"/>
      <c r="Y9" s="599"/>
      <c r="Z9" s="599"/>
      <c r="AA9" s="599"/>
      <c r="AB9" s="599"/>
      <c r="AC9" s="599"/>
      <c r="AD9" s="599"/>
      <c r="AE9" s="599"/>
      <c r="AF9" s="599"/>
      <c r="AG9" s="599"/>
      <c r="AH9" s="599"/>
      <c r="AI9" s="599"/>
      <c r="AJ9" s="599"/>
      <c r="AK9" s="599"/>
      <c r="AL9" s="599"/>
      <c r="AM9" s="599"/>
      <c r="AN9" s="600"/>
    </row>
    <row r="10" spans="1:40" s="45" customFormat="1" ht="3.75" customHeight="1" thickBot="1">
      <c r="A10" s="198"/>
      <c r="B10" s="2"/>
      <c r="C10" s="2"/>
      <c r="D10" s="2"/>
      <c r="E10" s="2"/>
      <c r="F10" s="2"/>
      <c r="G10" s="2"/>
      <c r="H10" s="2"/>
      <c r="I10" s="2"/>
      <c r="J10" s="2"/>
      <c r="K10" s="2"/>
      <c r="L10" s="2"/>
      <c r="M10" s="2"/>
      <c r="N10" s="2"/>
      <c r="O10" s="2"/>
      <c r="P10" s="2"/>
      <c r="Q10" s="2"/>
      <c r="R10" s="2"/>
      <c r="S10" s="2"/>
      <c r="T10" s="2"/>
      <c r="U10" s="398"/>
      <c r="V10" s="2"/>
      <c r="W10" s="2"/>
      <c r="X10" s="2"/>
      <c r="Y10" s="2"/>
      <c r="Z10" s="2"/>
      <c r="AA10" s="2"/>
      <c r="AB10" s="2"/>
      <c r="AC10" s="2"/>
      <c r="AD10" s="2"/>
      <c r="AE10" s="2"/>
      <c r="AF10" s="2"/>
      <c r="AG10" s="2"/>
      <c r="AH10" s="4"/>
      <c r="AI10" s="4"/>
      <c r="AJ10" s="195"/>
      <c r="AK10" s="67"/>
      <c r="AL10" s="199"/>
      <c r="AM10" s="199"/>
      <c r="AN10" s="397"/>
    </row>
    <row r="11" spans="1:40" s="45" customFormat="1" ht="19.5" customHeight="1">
      <c r="A11" s="121"/>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6"/>
      <c r="AI11" s="976"/>
      <c r="AJ11" s="976"/>
      <c r="AK11" s="978"/>
      <c r="AL11" s="978"/>
      <c r="AM11" s="978"/>
      <c r="AN11" s="979"/>
    </row>
    <row r="12" spans="1:40" s="45" customFormat="1" ht="15" customHeight="1">
      <c r="A12" s="980" t="str">
        <f>VLOOKUP("serienreifes Teil",Translations!$A:$P,MATCH(PSW!AO7,Translations!A1:P1,0),0)</f>
        <v>Assessment: Product</v>
      </c>
      <c r="B12" s="981"/>
      <c r="C12" s="981"/>
      <c r="D12" s="981"/>
      <c r="E12" s="981"/>
      <c r="F12" s="981"/>
      <c r="G12" s="981"/>
      <c r="H12" s="981"/>
      <c r="I12" s="981"/>
      <c r="J12" s="981"/>
      <c r="K12" s="981"/>
      <c r="L12" s="199"/>
      <c r="M12" s="199"/>
      <c r="N12" s="199"/>
      <c r="O12" s="199"/>
      <c r="P12" s="199"/>
      <c r="Q12" s="199"/>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9"/>
    </row>
    <row r="13" spans="1:40" s="45" customFormat="1" ht="3.75" customHeight="1" thickBot="1">
      <c r="A13" s="122"/>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7"/>
    </row>
    <row r="14" spans="1:40" s="45" customFormat="1" ht="12.75" customHeight="1" thickBot="1">
      <c r="A14" s="947" t="str">
        <f>VLOOKUP("part number",Translations!$A:$P,MATCH(PSW!AO7,Translations!A1:P1,0),0)</f>
        <v>Part no.</v>
      </c>
      <c r="B14" s="948"/>
      <c r="C14" s="948"/>
      <c r="D14" s="948"/>
      <c r="E14" s="948"/>
      <c r="F14" s="948"/>
      <c r="G14" s="948"/>
      <c r="H14" s="948"/>
      <c r="I14" s="948"/>
      <c r="J14" s="949"/>
      <c r="K14" s="950"/>
      <c r="L14" s="951"/>
      <c r="M14" s="951"/>
      <c r="N14" s="951"/>
      <c r="O14" s="951"/>
      <c r="P14" s="952"/>
      <c r="Q14" s="947" t="str">
        <f>VLOOKUP("part description",Translations!$A:$P,MATCH(PSW!AO7,Translations!A1:P1,0),0)</f>
        <v>Part description</v>
      </c>
      <c r="R14" s="948"/>
      <c r="S14" s="948"/>
      <c r="T14" s="948"/>
      <c r="U14" s="949"/>
      <c r="V14" s="982"/>
      <c r="W14" s="983"/>
      <c r="X14" s="983"/>
      <c r="Y14" s="983"/>
      <c r="Z14" s="983"/>
      <c r="AA14" s="983"/>
      <c r="AB14" s="983"/>
      <c r="AC14" s="983"/>
      <c r="AD14" s="983"/>
      <c r="AE14" s="983"/>
      <c r="AF14" s="983"/>
      <c r="AG14" s="983"/>
      <c r="AH14" s="984"/>
      <c r="AI14" s="985"/>
      <c r="AJ14" s="976"/>
      <c r="AK14" s="976"/>
      <c r="AL14" s="976"/>
      <c r="AM14" s="976"/>
      <c r="AN14" s="977"/>
    </row>
    <row r="15" spans="1:40" ht="14.25" customHeight="1" thickBot="1">
      <c r="A15" s="122"/>
      <c r="B15" s="976"/>
      <c r="C15" s="976"/>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c r="AL15" s="976"/>
      <c r="AM15" s="976"/>
      <c r="AN15" s="977"/>
    </row>
    <row r="16" spans="1:40" ht="13.5" customHeight="1" thickBot="1">
      <c r="A16" s="947" t="str">
        <f>VLOOKUP("supplier/production plant",Translations!$A:$P,MATCH(PSW!AO7,Translations!A1:P1,0),0)</f>
        <v>Supplier/Production plant</v>
      </c>
      <c r="B16" s="948"/>
      <c r="C16" s="948"/>
      <c r="D16" s="948"/>
      <c r="E16" s="948"/>
      <c r="F16" s="948"/>
      <c r="G16" s="948"/>
      <c r="H16" s="948"/>
      <c r="I16" s="948"/>
      <c r="J16" s="949"/>
      <c r="K16" s="950"/>
      <c r="L16" s="951"/>
      <c r="M16" s="951"/>
      <c r="N16" s="951"/>
      <c r="O16" s="951"/>
      <c r="P16" s="952"/>
      <c r="Q16" s="947" t="str">
        <f>VLOOKUP("colour",Translations!$A:$P,MATCH(PSW!AO7,Translations!A1:P1,0),0)</f>
        <v>Colour</v>
      </c>
      <c r="R16" s="948"/>
      <c r="S16" s="948"/>
      <c r="T16" s="948"/>
      <c r="U16" s="949"/>
      <c r="V16" s="971"/>
      <c r="W16" s="972"/>
      <c r="X16" s="972"/>
      <c r="Y16" s="972"/>
      <c r="Z16" s="972"/>
      <c r="AA16" s="972"/>
      <c r="AB16" s="972"/>
      <c r="AC16" s="972"/>
      <c r="AD16" s="972"/>
      <c r="AE16" s="972"/>
      <c r="AF16" s="972"/>
      <c r="AG16" s="972"/>
      <c r="AH16" s="973"/>
      <c r="AI16" s="123"/>
      <c r="AJ16" s="123"/>
      <c r="AK16" s="123"/>
      <c r="AL16" s="123"/>
      <c r="AM16" s="123"/>
      <c r="AN16" s="124"/>
    </row>
    <row r="17" spans="1:40" s="45" customFormat="1" ht="12.75" customHeight="1">
      <c r="A17" s="122"/>
      <c r="B17" s="163"/>
      <c r="C17" s="163"/>
      <c r="D17" s="163"/>
      <c r="E17" s="163"/>
      <c r="F17" s="163"/>
      <c r="G17" s="163"/>
      <c r="H17" s="163"/>
      <c r="I17" s="163"/>
      <c r="J17" s="163"/>
      <c r="K17" s="163"/>
      <c r="L17" s="163"/>
      <c r="M17" s="163"/>
      <c r="N17" s="199"/>
      <c r="O17" s="199"/>
      <c r="P17" s="199"/>
      <c r="Q17" s="199"/>
      <c r="AI17" s="123"/>
      <c r="AJ17" s="123"/>
      <c r="AK17" s="123"/>
      <c r="AL17" s="123"/>
      <c r="AM17" s="123"/>
      <c r="AN17" s="124"/>
    </row>
    <row r="18" spans="1:40" ht="8.25" customHeight="1" thickBot="1">
      <c r="A18" s="126"/>
      <c r="B18" s="127"/>
      <c r="C18" s="127"/>
      <c r="D18" s="127"/>
      <c r="E18" s="127"/>
      <c r="F18" s="127"/>
      <c r="G18" s="127"/>
      <c r="H18" s="127"/>
      <c r="I18" s="127"/>
      <c r="J18" s="127"/>
      <c r="K18" s="127"/>
      <c r="L18" s="127"/>
      <c r="M18" s="127"/>
      <c r="N18" s="127"/>
      <c r="O18" s="127"/>
      <c r="P18" s="127"/>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9"/>
    </row>
    <row r="19" spans="1:40" ht="15.75" customHeight="1">
      <c r="A19" s="121"/>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1"/>
    </row>
    <row r="20" spans="1:40" s="45" customFormat="1" ht="15.75" customHeight="1">
      <c r="A20" s="902" t="str">
        <f>VLOOKUP("design level",Translations!$A:$P,MATCH(PSW!AO7,Translations!A1:P1,0),0)</f>
        <v>Design level</v>
      </c>
      <c r="B20" s="903"/>
      <c r="C20" s="903"/>
      <c r="D20" s="903"/>
      <c r="E20" s="903"/>
      <c r="F20" s="903"/>
      <c r="G20" s="90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4"/>
    </row>
    <row r="21" spans="1:40" ht="15.75" customHeight="1" thickBot="1">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4"/>
    </row>
    <row r="22" spans="1:40" ht="12.75" customHeight="1" thickBot="1">
      <c r="A22" s="947" t="str">
        <f>VLOOKUP("presented",Translations!$A:$P,MATCH(PSW!AO7,Translations!A1:P1,0),0)</f>
        <v>Presented</v>
      </c>
      <c r="B22" s="948"/>
      <c r="C22" s="948"/>
      <c r="D22" s="948"/>
      <c r="E22" s="948"/>
      <c r="F22" s="948"/>
      <c r="G22" s="948"/>
      <c r="H22" s="948"/>
      <c r="I22" s="948"/>
      <c r="J22" s="949"/>
      <c r="K22" s="950"/>
      <c r="L22" s="951"/>
      <c r="M22" s="951"/>
      <c r="N22" s="951"/>
      <c r="O22" s="951"/>
      <c r="P22" s="952"/>
      <c r="Q22" s="2"/>
      <c r="R22" s="948" t="str">
        <f>VLOOKUP("current",Translations!$A:$P,MATCH(PSW!AO7,Translations!A1:P1,0),0)</f>
        <v>Current</v>
      </c>
      <c r="S22" s="948"/>
      <c r="T22" s="948"/>
      <c r="U22" s="949"/>
      <c r="V22" s="971"/>
      <c r="W22" s="972"/>
      <c r="X22" s="972"/>
      <c r="Y22" s="972"/>
      <c r="Z22" s="972"/>
      <c r="AA22" s="972"/>
      <c r="AB22" s="972"/>
      <c r="AC22" s="972"/>
      <c r="AD22" s="972"/>
      <c r="AE22" s="972"/>
      <c r="AF22" s="972"/>
      <c r="AG22" s="972"/>
      <c r="AH22" s="973"/>
      <c r="AI22" s="123"/>
      <c r="AJ22" s="123"/>
      <c r="AK22" s="123"/>
      <c r="AL22" s="123"/>
      <c r="AM22" s="123"/>
      <c r="AN22" s="124"/>
    </row>
    <row r="23" spans="1:40" s="45" customFormat="1" ht="15.75" customHeight="1" thickBot="1">
      <c r="A23" s="126"/>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9"/>
    </row>
    <row r="24" spans="1:40" ht="15.75" customHeight="1">
      <c r="A24" s="121"/>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1"/>
    </row>
    <row r="25" spans="1:40" ht="15" customHeight="1">
      <c r="A25" s="974" t="str">
        <f>VLOOKUP("for electronic",Translations!$A:$P,MATCH(PSW!AO7,Translations!A1:P1,0),0)</f>
        <v>For electronic components</v>
      </c>
      <c r="B25" s="975"/>
      <c r="C25" s="975"/>
      <c r="D25" s="975"/>
      <c r="E25" s="975"/>
      <c r="F25" s="975"/>
      <c r="G25" s="975"/>
      <c r="H25" s="975"/>
      <c r="I25" s="975"/>
      <c r="J25" s="975"/>
      <c r="K25" s="975"/>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4"/>
    </row>
    <row r="26" spans="1:40" s="45" customFormat="1" ht="15.75" customHeight="1" thickBot="1">
      <c r="A26" s="122"/>
      <c r="B26" s="67"/>
      <c r="C26" s="67"/>
      <c r="D26" s="67"/>
      <c r="E26" s="67"/>
      <c r="F26" s="67"/>
      <c r="G26" s="67"/>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4"/>
    </row>
    <row r="27" spans="1:40" s="45" customFormat="1" ht="12.75" customHeight="1" thickBot="1">
      <c r="A27" s="947" t="str">
        <f>VLOOKUP("hardware level",Translations!$A:$P,MATCH(PSW!AO7,Translations!A1:P1,0),0)</f>
        <v>Hardware level</v>
      </c>
      <c r="B27" s="948"/>
      <c r="C27" s="948"/>
      <c r="D27" s="948"/>
      <c r="E27" s="948"/>
      <c r="F27" s="948"/>
      <c r="G27" s="948"/>
      <c r="H27" s="948"/>
      <c r="I27" s="948"/>
      <c r="J27" s="949"/>
      <c r="K27" s="950"/>
      <c r="L27" s="951"/>
      <c r="M27" s="951"/>
      <c r="N27" s="951"/>
      <c r="O27" s="951"/>
      <c r="P27" s="952"/>
      <c r="Q27" s="947" t="str">
        <f>VLOOKUP("software level",Translations!$A:$P,MATCH(PSW!AO7,Translations!A1:P1,0),0)</f>
        <v>Software level</v>
      </c>
      <c r="R27" s="948"/>
      <c r="S27" s="948"/>
      <c r="T27" s="948"/>
      <c r="U27" s="949"/>
      <c r="V27" s="971"/>
      <c r="W27" s="972"/>
      <c r="X27" s="972"/>
      <c r="Y27" s="972"/>
      <c r="Z27" s="972"/>
      <c r="AA27" s="972"/>
      <c r="AB27" s="972"/>
      <c r="AC27" s="972"/>
      <c r="AD27" s="972"/>
      <c r="AE27" s="972"/>
      <c r="AF27" s="972"/>
      <c r="AG27" s="972"/>
      <c r="AH27" s="973"/>
      <c r="AI27" s="123"/>
      <c r="AJ27" s="123"/>
      <c r="AK27" s="123"/>
      <c r="AL27" s="123"/>
      <c r="AM27" s="123"/>
      <c r="AN27" s="124"/>
    </row>
    <row r="28" spans="1:40" s="45" customFormat="1" ht="15.75" customHeight="1" thickBot="1">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4"/>
    </row>
    <row r="29" spans="1:40" s="45" customFormat="1" ht="12.75" customHeight="1" thickBot="1">
      <c r="A29" s="947" t="str">
        <f>VLOOKUP("diagnosis level",Translations!$A:$P,MATCH(PSW!AO7,Translations!A1:P1,0),0)</f>
        <v>Diagnosis level</v>
      </c>
      <c r="B29" s="948"/>
      <c r="C29" s="948"/>
      <c r="D29" s="948"/>
      <c r="E29" s="948"/>
      <c r="F29" s="948"/>
      <c r="G29" s="948"/>
      <c r="H29" s="948"/>
      <c r="I29" s="948"/>
      <c r="J29" s="949"/>
      <c r="K29" s="950"/>
      <c r="L29" s="951"/>
      <c r="M29" s="951"/>
      <c r="N29" s="951"/>
      <c r="O29" s="951"/>
      <c r="P29" s="952"/>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4"/>
    </row>
    <row r="30" spans="1:40" s="45" customFormat="1" ht="15.75" customHeight="1" thickBot="1">
      <c r="A30" s="126"/>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9"/>
    </row>
    <row r="31" spans="1:40" s="45" customFormat="1" ht="4.5" customHeight="1" thickBot="1">
      <c r="A31" s="122"/>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4"/>
    </row>
    <row r="32" spans="1:40" s="45" customFormat="1" ht="15.75" thickBot="1">
      <c r="A32" s="132"/>
      <c r="B32" s="133"/>
      <c r="C32" s="133"/>
      <c r="D32" s="133"/>
      <c r="E32" s="133"/>
      <c r="F32" s="133"/>
      <c r="G32" s="953" t="str">
        <f>VLOOKUP("OK (green)",Translations!$A:$P,MATCH(PSW!AO7,Translations!A1:P1,0),0)</f>
        <v>OK (green)</v>
      </c>
      <c r="H32" s="954"/>
      <c r="I32" s="954"/>
      <c r="J32" s="954"/>
      <c r="K32" s="954"/>
      <c r="L32" s="955"/>
      <c r="M32" s="956" t="str">
        <f>VLOOKUP("OK (yellow)",Translations!$A:$P,MATCH(PSW!AO7,Translations!A1:P1,0),0)</f>
        <v>Conditionally OK (yellow)</v>
      </c>
      <c r="N32" s="957"/>
      <c r="O32" s="957"/>
      <c r="P32" s="957"/>
      <c r="Q32" s="957"/>
      <c r="R32" s="957"/>
      <c r="S32" s="957"/>
      <c r="T32" s="957"/>
      <c r="U32" s="957"/>
      <c r="V32" s="957"/>
      <c r="W32" s="957"/>
      <c r="X32" s="957"/>
      <c r="Y32" s="957"/>
      <c r="Z32" s="957"/>
      <c r="AA32" s="957"/>
      <c r="AB32" s="958"/>
      <c r="AC32" s="959" t="str">
        <f>VLOOKUP("NOK (red)",Translations!$A:$P,MATCH(PSW!AO7,Translations!A1:P1,0),0)</f>
        <v>NOK (red)</v>
      </c>
      <c r="AD32" s="960"/>
      <c r="AE32" s="960"/>
      <c r="AF32" s="960"/>
      <c r="AG32" s="960"/>
      <c r="AH32" s="960"/>
      <c r="AI32" s="960"/>
      <c r="AJ32" s="960"/>
      <c r="AK32" s="960"/>
      <c r="AL32" s="960"/>
      <c r="AM32" s="960"/>
      <c r="AN32" s="961"/>
    </row>
    <row r="33" spans="1:40" s="45" customFormat="1" ht="15" customHeight="1">
      <c r="A33" s="962" t="str">
        <f>VLOOKUP("tools",Translations!$A:$P,MATCH(PSW!AO7,Translations!A1:P1,0),0)</f>
        <v>Tools</v>
      </c>
      <c r="B33" s="963"/>
      <c r="C33" s="963"/>
      <c r="D33" s="963"/>
      <c r="E33" s="963"/>
      <c r="F33" s="964"/>
      <c r="G33" s="905" t="str">
        <f>VLOOKUP("production tool",Translations!$A:$P,MATCH(PSW!AO7,Translations!A1:P1,0),0)</f>
        <v>Serial production tool</v>
      </c>
      <c r="H33" s="906"/>
      <c r="I33" s="906"/>
      <c r="J33" s="906"/>
      <c r="K33" s="906"/>
      <c r="L33" s="907"/>
      <c r="M33" s="893" t="str">
        <f>VLOOKUP("production tool",Translations!$A:$P,MATCH(PSW!AO7,Translations!A1:P1,0),0)</f>
        <v>Serial production tool</v>
      </c>
      <c r="N33" s="894"/>
      <c r="O33" s="894"/>
      <c r="P33" s="894"/>
      <c r="Q33" s="894"/>
      <c r="R33" s="894"/>
      <c r="S33" s="894"/>
      <c r="T33" s="894"/>
      <c r="U33" s="894"/>
      <c r="V33" s="894"/>
      <c r="W33" s="894"/>
      <c r="X33" s="894"/>
      <c r="Y33" s="894"/>
      <c r="Z33" s="894"/>
      <c r="AA33" s="894"/>
      <c r="AB33" s="895"/>
      <c r="AC33" s="893" t="str">
        <f>VLOOKUP("no production tool",Translations!$A:$P,MATCH(PSW!AO7,Translations!A1:P1,0),0)</f>
        <v>No serial production tool</v>
      </c>
      <c r="AD33" s="894"/>
      <c r="AE33" s="894"/>
      <c r="AF33" s="894"/>
      <c r="AG33" s="894"/>
      <c r="AH33" s="894"/>
      <c r="AI33" s="894"/>
      <c r="AJ33" s="894"/>
      <c r="AK33" s="894"/>
      <c r="AL33" s="894"/>
      <c r="AM33" s="894"/>
      <c r="AN33" s="895"/>
    </row>
    <row r="34" spans="1:40" s="45" customFormat="1" ht="14.25" customHeight="1">
      <c r="A34" s="965"/>
      <c r="B34" s="966"/>
      <c r="C34" s="966"/>
      <c r="D34" s="966"/>
      <c r="E34" s="966"/>
      <c r="F34" s="967"/>
      <c r="G34" s="941" t="str">
        <f>VLOOKUP("accepted",Translations!$A:$P,MATCH(PSW!AO7,Translations!A1:P1,0),0)</f>
        <v>accepted</v>
      </c>
      <c r="H34" s="942"/>
      <c r="I34" s="942"/>
      <c r="J34" s="942"/>
      <c r="K34" s="942"/>
      <c r="L34" s="943"/>
      <c r="M34" s="932" t="str">
        <f>VLOOKUP("optimiert",Translations!$A:$P,MATCH(PSW!AO7,Translations!A1:P1,0),0)</f>
        <v>improved / corrected</v>
      </c>
      <c r="N34" s="933"/>
      <c r="O34" s="933"/>
      <c r="P34" s="933"/>
      <c r="Q34" s="933"/>
      <c r="R34" s="933"/>
      <c r="S34" s="933"/>
      <c r="T34" s="933"/>
      <c r="U34" s="933"/>
      <c r="V34" s="933"/>
      <c r="W34" s="933"/>
      <c r="X34" s="933"/>
      <c r="Y34" s="933"/>
      <c r="Z34" s="933"/>
      <c r="AA34" s="933"/>
      <c r="AB34" s="934"/>
      <c r="AC34" s="932"/>
      <c r="AD34" s="933"/>
      <c r="AE34" s="933"/>
      <c r="AF34" s="933"/>
      <c r="AG34" s="933"/>
      <c r="AH34" s="933"/>
      <c r="AI34" s="933"/>
      <c r="AJ34" s="933"/>
      <c r="AK34" s="933"/>
      <c r="AL34" s="933"/>
      <c r="AM34" s="933"/>
      <c r="AN34" s="934"/>
    </row>
    <row r="35" spans="1:40" s="45" customFormat="1" ht="25.5" customHeight="1">
      <c r="A35" s="965"/>
      <c r="B35" s="966"/>
      <c r="C35" s="966"/>
      <c r="D35" s="966"/>
      <c r="E35" s="966"/>
      <c r="F35" s="967"/>
      <c r="G35" s="968"/>
      <c r="H35" s="969"/>
      <c r="I35" s="969"/>
      <c r="J35" s="969"/>
      <c r="K35" s="969"/>
      <c r="L35" s="970"/>
      <c r="M35" s="209"/>
      <c r="N35" s="210"/>
      <c r="O35" s="210"/>
      <c r="P35" s="210"/>
      <c r="Q35" s="210"/>
      <c r="R35" s="210"/>
      <c r="S35" s="210"/>
      <c r="T35" s="210"/>
      <c r="U35" s="210"/>
      <c r="V35" s="210"/>
      <c r="W35" s="210"/>
      <c r="X35" s="210"/>
      <c r="Y35" s="210"/>
      <c r="Z35" s="210"/>
      <c r="AA35" s="210"/>
      <c r="AB35" s="211"/>
      <c r="AC35" s="932"/>
      <c r="AD35" s="933"/>
      <c r="AE35" s="933"/>
      <c r="AF35" s="933"/>
      <c r="AG35" s="933"/>
      <c r="AH35" s="933"/>
      <c r="AI35" s="933"/>
      <c r="AJ35" s="933"/>
      <c r="AK35" s="933"/>
      <c r="AL35" s="933"/>
      <c r="AM35" s="933"/>
      <c r="AN35" s="934"/>
    </row>
    <row r="36" spans="1:40" s="45" customFormat="1" ht="3.75" customHeight="1" thickBot="1">
      <c r="A36" s="150"/>
      <c r="B36" s="151"/>
      <c r="C36" s="151"/>
      <c r="D36" s="151"/>
      <c r="E36" s="151"/>
      <c r="F36" s="152"/>
      <c r="G36" s="200"/>
      <c r="H36" s="201"/>
      <c r="I36" s="201"/>
      <c r="J36" s="201"/>
      <c r="K36" s="201"/>
      <c r="L36" s="202"/>
      <c r="M36" s="209"/>
      <c r="N36" s="210"/>
      <c r="O36" s="210"/>
      <c r="P36" s="210"/>
      <c r="Q36" s="210"/>
      <c r="R36" s="210"/>
      <c r="S36" s="210"/>
      <c r="T36" s="210"/>
      <c r="U36" s="210"/>
      <c r="V36" s="210"/>
      <c r="W36" s="210"/>
      <c r="X36" s="210"/>
      <c r="Y36" s="210"/>
      <c r="Z36" s="210"/>
      <c r="AA36" s="210"/>
      <c r="AB36" s="211"/>
      <c r="AC36" s="209"/>
      <c r="AD36" s="210"/>
      <c r="AE36" s="210"/>
      <c r="AF36" s="210"/>
      <c r="AG36" s="210"/>
      <c r="AH36" s="210"/>
      <c r="AI36" s="210"/>
      <c r="AJ36" s="210"/>
      <c r="AK36" s="210"/>
      <c r="AL36" s="210"/>
      <c r="AM36" s="210"/>
      <c r="AN36" s="211"/>
    </row>
    <row r="37" spans="1:40" s="45" customFormat="1" ht="18" customHeight="1" thickBot="1">
      <c r="A37" s="150"/>
      <c r="B37" s="151"/>
      <c r="C37" s="151"/>
      <c r="D37" s="151"/>
      <c r="E37" s="151"/>
      <c r="F37" s="152"/>
      <c r="G37" s="203"/>
      <c r="H37" s="204"/>
      <c r="I37" s="229"/>
      <c r="J37" s="204"/>
      <c r="K37" s="204"/>
      <c r="L37" s="205"/>
      <c r="M37" s="212"/>
      <c r="N37" s="213"/>
      <c r="O37" s="213"/>
      <c r="P37" s="213"/>
      <c r="Q37" s="213"/>
      <c r="R37" s="213"/>
      <c r="S37" s="213"/>
      <c r="T37" s="213"/>
      <c r="U37" s="213"/>
      <c r="V37" s="228"/>
      <c r="W37" s="213"/>
      <c r="X37" s="213"/>
      <c r="Y37" s="213"/>
      <c r="Z37" s="213"/>
      <c r="AA37" s="213"/>
      <c r="AB37" s="214"/>
      <c r="AC37" s="212"/>
      <c r="AD37" s="213"/>
      <c r="AE37" s="213"/>
      <c r="AF37" s="213"/>
      <c r="AG37" s="213"/>
      <c r="AH37" s="228"/>
      <c r="AI37" s="213"/>
      <c r="AJ37" s="213"/>
      <c r="AK37" s="213"/>
      <c r="AL37" s="213"/>
      <c r="AM37" s="213"/>
      <c r="AN37" s="214"/>
    </row>
    <row r="38" spans="1:40" s="45" customFormat="1" ht="9" customHeight="1" thickBot="1">
      <c r="A38" s="134"/>
      <c r="B38" s="135"/>
      <c r="C38" s="135"/>
      <c r="D38" s="135"/>
      <c r="E38" s="135"/>
      <c r="F38" s="136"/>
      <c r="G38" s="206"/>
      <c r="H38" s="207"/>
      <c r="I38" s="207"/>
      <c r="J38" s="207"/>
      <c r="K38" s="207"/>
      <c r="L38" s="208"/>
      <c r="M38" s="215"/>
      <c r="N38" s="216"/>
      <c r="O38" s="216"/>
      <c r="P38" s="216"/>
      <c r="Q38" s="216"/>
      <c r="R38" s="216"/>
      <c r="S38" s="216"/>
      <c r="T38" s="216"/>
      <c r="U38" s="216"/>
      <c r="V38" s="216"/>
      <c r="W38" s="216"/>
      <c r="X38" s="216"/>
      <c r="Y38" s="216"/>
      <c r="Z38" s="216"/>
      <c r="AA38" s="216"/>
      <c r="AB38" s="217"/>
      <c r="AC38" s="215"/>
      <c r="AD38" s="216"/>
      <c r="AE38" s="216"/>
      <c r="AF38" s="216"/>
      <c r="AG38" s="216"/>
      <c r="AH38" s="216"/>
      <c r="AI38" s="216"/>
      <c r="AJ38" s="216"/>
      <c r="AK38" s="216"/>
      <c r="AL38" s="216"/>
      <c r="AM38" s="216"/>
      <c r="AN38" s="217"/>
    </row>
    <row r="39" spans="1:40" s="45" customFormat="1" ht="15" customHeight="1">
      <c r="A39" s="890" t="str">
        <f>VLOOKUP("dimensions",Translations!$A:$P,MATCH(PSW!AO7,Translations!A1:P1,0),0)</f>
        <v>Dimensions</v>
      </c>
      <c r="B39" s="891"/>
      <c r="C39" s="891"/>
      <c r="D39" s="891"/>
      <c r="E39" s="891"/>
      <c r="F39" s="892"/>
      <c r="G39" s="905" t="str">
        <f>VLOOKUP("dimensionally ok",Translations!$A:$P,MATCH(PSW!AO7,Translations!A1:P1,0),0)</f>
        <v>Dimensionally OK</v>
      </c>
      <c r="H39" s="906"/>
      <c r="I39" s="906"/>
      <c r="J39" s="906"/>
      <c r="K39" s="906"/>
      <c r="L39" s="907"/>
      <c r="M39" s="893" t="str">
        <f>VLOOKUP("dimensionally ok",Translations!$A:$P,MATCH(PSW!AO7,Translations!A1:P1,0),0)</f>
        <v>Dimensionally OK</v>
      </c>
      <c r="N39" s="894"/>
      <c r="O39" s="894"/>
      <c r="P39" s="894"/>
      <c r="Q39" s="894"/>
      <c r="R39" s="894"/>
      <c r="S39" s="894"/>
      <c r="T39" s="894"/>
      <c r="U39" s="894"/>
      <c r="V39" s="894"/>
      <c r="W39" s="894"/>
      <c r="X39" s="894"/>
      <c r="Y39" s="894"/>
      <c r="Z39" s="894"/>
      <c r="AA39" s="894"/>
      <c r="AB39" s="895"/>
      <c r="AC39" s="935" t="str">
        <f>VLOOKUP("dimensionally nok",Translations!$A:$P,MATCH(PSW!AO7,Translations!A1:P1,0),0)</f>
        <v>Dimensionally NOK</v>
      </c>
      <c r="AD39" s="936"/>
      <c r="AE39" s="936"/>
      <c r="AF39" s="936"/>
      <c r="AG39" s="936"/>
      <c r="AH39" s="936"/>
      <c r="AI39" s="936"/>
      <c r="AJ39" s="936"/>
      <c r="AK39" s="936"/>
      <c r="AL39" s="936"/>
      <c r="AM39" s="936"/>
      <c r="AN39" s="937"/>
    </row>
    <row r="40" spans="1:40" s="45" customFormat="1" ht="25.5" customHeight="1" thickBot="1">
      <c r="A40" s="122"/>
      <c r="B40" s="123"/>
      <c r="C40" s="123"/>
      <c r="D40" s="123"/>
      <c r="E40" s="123"/>
      <c r="F40" s="124"/>
      <c r="G40" s="941" t="str">
        <f>VLOOKUP("no rework",Translations!$A:$P,MATCH(PSW!AO7,Translations!A1:P1,0),0)</f>
        <v>no rework</v>
      </c>
      <c r="H40" s="942"/>
      <c r="I40" s="942"/>
      <c r="J40" s="942"/>
      <c r="K40" s="942"/>
      <c r="L40" s="943"/>
      <c r="M40" s="932" t="str">
        <f>VLOOKUP("with rework",Translations!$A:$P,MATCH(PSW!AO7,Translations!A1:P1,0),0)</f>
        <v>with rework by supplier or non-critical dimensions NOK (deviation permit is available)</v>
      </c>
      <c r="N40" s="933"/>
      <c r="O40" s="933"/>
      <c r="P40" s="933"/>
      <c r="Q40" s="933"/>
      <c r="R40" s="933"/>
      <c r="S40" s="933"/>
      <c r="T40" s="933"/>
      <c r="U40" s="933"/>
      <c r="V40" s="933"/>
      <c r="W40" s="933"/>
      <c r="X40" s="933"/>
      <c r="Y40" s="933"/>
      <c r="Z40" s="933"/>
      <c r="AA40" s="933"/>
      <c r="AB40" s="934"/>
      <c r="AC40" s="938"/>
      <c r="AD40" s="939"/>
      <c r="AE40" s="939"/>
      <c r="AF40" s="939"/>
      <c r="AG40" s="939"/>
      <c r="AH40" s="939"/>
      <c r="AI40" s="939"/>
      <c r="AJ40" s="939"/>
      <c r="AK40" s="939"/>
      <c r="AL40" s="939"/>
      <c r="AM40" s="939"/>
      <c r="AN40" s="940"/>
    </row>
    <row r="41" spans="1:40" s="45" customFormat="1" ht="18" customHeight="1" thickBot="1">
      <c r="A41" s="122"/>
      <c r="B41" s="123"/>
      <c r="C41" s="123"/>
      <c r="D41" s="123"/>
      <c r="E41" s="123"/>
      <c r="F41" s="124"/>
      <c r="G41" s="203"/>
      <c r="H41" s="204"/>
      <c r="I41" s="229"/>
      <c r="J41" s="204"/>
      <c r="K41" s="204"/>
      <c r="L41" s="205"/>
      <c r="M41" s="218"/>
      <c r="N41" s="219"/>
      <c r="O41" s="219"/>
      <c r="P41" s="219"/>
      <c r="Q41" s="219"/>
      <c r="R41" s="219"/>
      <c r="S41" s="219"/>
      <c r="T41" s="219"/>
      <c r="U41" s="219"/>
      <c r="V41" s="228"/>
      <c r="W41" s="219"/>
      <c r="X41" s="219"/>
      <c r="Y41" s="219"/>
      <c r="Z41" s="219"/>
      <c r="AA41" s="219"/>
      <c r="AB41" s="220"/>
      <c r="AC41" s="218"/>
      <c r="AD41" s="219"/>
      <c r="AE41" s="219"/>
      <c r="AF41" s="219"/>
      <c r="AG41" s="219"/>
      <c r="AH41" s="228"/>
      <c r="AI41" s="219"/>
      <c r="AJ41" s="219"/>
      <c r="AK41" s="219"/>
      <c r="AL41" s="219"/>
      <c r="AM41" s="219"/>
      <c r="AN41" s="220"/>
    </row>
    <row r="42" spans="1:40" s="45" customFormat="1" ht="9" customHeight="1" thickBot="1">
      <c r="A42" s="126"/>
      <c r="B42" s="128"/>
      <c r="C42" s="128"/>
      <c r="D42" s="128"/>
      <c r="E42" s="128"/>
      <c r="F42" s="129"/>
      <c r="G42" s="215"/>
      <c r="H42" s="216"/>
      <c r="I42" s="216"/>
      <c r="J42" s="216"/>
      <c r="K42" s="216"/>
      <c r="L42" s="217"/>
      <c r="M42" s="215"/>
      <c r="N42" s="216"/>
      <c r="O42" s="216"/>
      <c r="P42" s="216"/>
      <c r="Q42" s="216"/>
      <c r="R42" s="216"/>
      <c r="S42" s="216"/>
      <c r="T42" s="216"/>
      <c r="U42" s="216"/>
      <c r="V42" s="216"/>
      <c r="W42" s="216"/>
      <c r="X42" s="216"/>
      <c r="Y42" s="216"/>
      <c r="Z42" s="216"/>
      <c r="AA42" s="216"/>
      <c r="AB42" s="217"/>
      <c r="AC42" s="215"/>
      <c r="AD42" s="216"/>
      <c r="AE42" s="216"/>
      <c r="AF42" s="216"/>
      <c r="AG42" s="216"/>
      <c r="AH42" s="216"/>
      <c r="AI42" s="216"/>
      <c r="AJ42" s="216"/>
      <c r="AK42" s="216"/>
      <c r="AL42" s="216"/>
      <c r="AM42" s="216"/>
      <c r="AN42" s="217"/>
    </row>
    <row r="43" spans="1:40" s="45" customFormat="1" ht="15" customHeight="1">
      <c r="A43" s="890" t="str">
        <f>VLOOKUP("surface",Translations!$A:$P,MATCH(PSW!AO7,Translations!A1:P1,0),0)</f>
        <v>Surface</v>
      </c>
      <c r="B43" s="891"/>
      <c r="C43" s="891"/>
      <c r="D43" s="891"/>
      <c r="E43" s="891"/>
      <c r="F43" s="892"/>
      <c r="G43" s="935" t="str">
        <f>VLOOKUP("OK2",Translations!$A:$P,MATCH(PSW!AO7,Translations!A1:P1,0),0)</f>
        <v>OK</v>
      </c>
      <c r="H43" s="936"/>
      <c r="I43" s="936"/>
      <c r="J43" s="936"/>
      <c r="K43" s="936"/>
      <c r="L43" s="937"/>
      <c r="M43" s="935" t="str">
        <f>VLOOKUP("just acceptable",Translations!$A:$P,MATCH(PSW!AO7,Translations!A1:P1,0),0)</f>
        <v>Just acceptable</v>
      </c>
      <c r="N43" s="936"/>
      <c r="O43" s="936"/>
      <c r="P43" s="936"/>
      <c r="Q43" s="936"/>
      <c r="R43" s="936"/>
      <c r="S43" s="936"/>
      <c r="T43" s="936"/>
      <c r="U43" s="936"/>
      <c r="V43" s="936"/>
      <c r="W43" s="936"/>
      <c r="X43" s="936"/>
      <c r="Y43" s="936"/>
      <c r="Z43" s="936"/>
      <c r="AA43" s="936"/>
      <c r="AB43" s="937"/>
      <c r="AC43" s="935" t="str">
        <f>VLOOKUP("significant",Translations!$A:$P,MATCH(PSW!AO7,Translations!A1:P1,0),0)</f>
        <v>Significant non-conformance / defect</v>
      </c>
      <c r="AD43" s="936"/>
      <c r="AE43" s="936"/>
      <c r="AF43" s="936"/>
      <c r="AG43" s="936"/>
      <c r="AH43" s="936"/>
      <c r="AI43" s="936"/>
      <c r="AJ43" s="936"/>
      <c r="AK43" s="936"/>
      <c r="AL43" s="936"/>
      <c r="AM43" s="936"/>
      <c r="AN43" s="937"/>
    </row>
    <row r="44" spans="1:40" s="45" customFormat="1" ht="15" customHeight="1">
      <c r="A44" s="902" t="str">
        <f>VLOOKUP("structure",Translations!$A:$P,MATCH(PSW!AO7,Translations!A1:P1,0),0)</f>
        <v>Structure</v>
      </c>
      <c r="B44" s="903"/>
      <c r="C44" s="903"/>
      <c r="D44" s="903"/>
      <c r="E44" s="903"/>
      <c r="F44" s="904"/>
      <c r="G44" s="899" t="str">
        <f>VLOOKUP("keine einfallsstellen",Translations!$A:$P,MATCH(PSW!AO7,Translations!A1:P1,0),0)</f>
        <v>no sink marks; no corrugation</v>
      </c>
      <c r="H44" s="900"/>
      <c r="I44" s="900"/>
      <c r="J44" s="900"/>
      <c r="K44" s="900"/>
      <c r="L44" s="901"/>
      <c r="M44" s="944" t="str">
        <f>VLOOKUP("entspricht Grenzmuster",Translations!$A:$P,MATCH(PSW!AO7,Translations!A1:P1,0),0)</f>
        <v>complies with boundary sample</v>
      </c>
      <c r="N44" s="945"/>
      <c r="O44" s="945"/>
      <c r="P44" s="945"/>
      <c r="Q44" s="945"/>
      <c r="R44" s="945"/>
      <c r="S44" s="945"/>
      <c r="T44" s="945"/>
      <c r="U44" s="945"/>
      <c r="V44" s="945"/>
      <c r="W44" s="945"/>
      <c r="X44" s="945"/>
      <c r="Y44" s="945"/>
      <c r="Z44" s="945"/>
      <c r="AA44" s="945"/>
      <c r="AB44" s="946"/>
      <c r="AC44" s="944" t="str">
        <f>VLOOKUP("nicht zu beurteilen",Translations!$A:$P,MATCH(PSW!AO7,Translations!A1:P1,0),0)</f>
        <v>not suitable for assessment</v>
      </c>
      <c r="AD44" s="945"/>
      <c r="AE44" s="945"/>
      <c r="AF44" s="945"/>
      <c r="AG44" s="945"/>
      <c r="AH44" s="945"/>
      <c r="AI44" s="945"/>
      <c r="AJ44" s="945"/>
      <c r="AK44" s="945"/>
      <c r="AL44" s="945"/>
      <c r="AM44" s="945"/>
      <c r="AN44" s="946"/>
    </row>
    <row r="45" spans="1:40" s="45" customFormat="1" ht="15" customHeight="1" thickBot="1">
      <c r="A45" s="917" t="str">
        <f>VLOOKUP("colour grain",Translations!$A:$P,MATCH(PSW!AO7,Translations!A1:P1,0),0)</f>
        <v>Colour / grain</v>
      </c>
      <c r="B45" s="918"/>
      <c r="C45" s="918"/>
      <c r="D45" s="918"/>
      <c r="E45" s="918"/>
      <c r="F45" s="919"/>
      <c r="G45" s="899"/>
      <c r="H45" s="900"/>
      <c r="I45" s="900"/>
      <c r="J45" s="900"/>
      <c r="K45" s="900"/>
      <c r="L45" s="901"/>
      <c r="M45" s="230"/>
      <c r="N45" s="231"/>
      <c r="O45" s="231"/>
      <c r="P45" s="231"/>
      <c r="Q45" s="231"/>
      <c r="R45" s="231"/>
      <c r="S45" s="231"/>
      <c r="T45" s="231"/>
      <c r="U45" s="231"/>
      <c r="V45" s="231"/>
      <c r="W45" s="231"/>
      <c r="X45" s="231"/>
      <c r="Y45" s="231"/>
      <c r="Z45" s="231"/>
      <c r="AA45" s="231"/>
      <c r="AB45" s="232"/>
      <c r="AC45" s="233"/>
      <c r="AD45" s="234"/>
      <c r="AE45" s="234"/>
      <c r="AF45" s="234"/>
      <c r="AG45" s="234"/>
      <c r="AH45" s="234"/>
      <c r="AI45" s="234"/>
      <c r="AJ45" s="234"/>
      <c r="AK45" s="234"/>
      <c r="AL45" s="234"/>
      <c r="AM45" s="234"/>
      <c r="AN45" s="235"/>
    </row>
    <row r="46" spans="1:40" s="45" customFormat="1" ht="18" customHeight="1" thickBot="1">
      <c r="A46" s="920" t="str">
        <f>VLOOKUP("finish",Translations!$A:$P,MATCH(PSW!AO7,Translations!A1:P1,0),0)</f>
        <v>finish</v>
      </c>
      <c r="B46" s="921"/>
      <c r="C46" s="921"/>
      <c r="D46" s="921"/>
      <c r="E46" s="921"/>
      <c r="F46" s="922"/>
      <c r="G46" s="219"/>
      <c r="H46" s="219"/>
      <c r="I46" s="228"/>
      <c r="J46" s="219"/>
      <c r="K46" s="219"/>
      <c r="L46" s="220"/>
      <c r="M46" s="218"/>
      <c r="N46" s="219"/>
      <c r="O46" s="219"/>
      <c r="P46" s="219"/>
      <c r="Q46" s="219"/>
      <c r="R46" s="219"/>
      <c r="S46" s="219"/>
      <c r="T46" s="219"/>
      <c r="U46" s="219"/>
      <c r="V46" s="228"/>
      <c r="W46" s="219"/>
      <c r="X46" s="219"/>
      <c r="Y46" s="219"/>
      <c r="Z46" s="219"/>
      <c r="AA46" s="219"/>
      <c r="AB46" s="220"/>
      <c r="AC46" s="218"/>
      <c r="AD46" s="219"/>
      <c r="AE46" s="219"/>
      <c r="AF46" s="219"/>
      <c r="AG46" s="219"/>
      <c r="AH46" s="228"/>
      <c r="AI46" s="219"/>
      <c r="AJ46" s="219"/>
      <c r="AK46" s="219"/>
      <c r="AL46" s="219"/>
      <c r="AM46" s="219"/>
      <c r="AN46" s="220"/>
    </row>
    <row r="47" spans="1:40" s="45" customFormat="1" ht="9" customHeight="1" thickBot="1">
      <c r="A47" s="902"/>
      <c r="B47" s="903"/>
      <c r="C47" s="903"/>
      <c r="D47" s="903"/>
      <c r="E47" s="903"/>
      <c r="F47" s="904"/>
      <c r="G47" s="215"/>
      <c r="H47" s="216"/>
      <c r="I47" s="216"/>
      <c r="J47" s="216"/>
      <c r="K47" s="216"/>
      <c r="L47" s="217"/>
      <c r="M47" s="215"/>
      <c r="N47" s="216"/>
      <c r="O47" s="216"/>
      <c r="P47" s="216"/>
      <c r="Q47" s="216"/>
      <c r="R47" s="216"/>
      <c r="S47" s="216"/>
      <c r="T47" s="216"/>
      <c r="U47" s="216"/>
      <c r="V47" s="216"/>
      <c r="W47" s="216"/>
      <c r="X47" s="216"/>
      <c r="Y47" s="216"/>
      <c r="Z47" s="216"/>
      <c r="AA47" s="216"/>
      <c r="AB47" s="217"/>
      <c r="AC47" s="215"/>
      <c r="AD47" s="216"/>
      <c r="AE47" s="216"/>
      <c r="AF47" s="216"/>
      <c r="AG47" s="216"/>
      <c r="AH47" s="216"/>
      <c r="AI47" s="216"/>
      <c r="AJ47" s="216"/>
      <c r="AK47" s="216"/>
      <c r="AL47" s="216"/>
      <c r="AM47" s="216"/>
      <c r="AN47" s="217"/>
    </row>
    <row r="48" spans="1:40" s="45" customFormat="1" ht="15" customHeight="1">
      <c r="A48" s="890" t="str">
        <f>VLOOKUP("material",Translations!$A:$P,MATCH(PSW!AO7,Translations!A1:P1,0),0)</f>
        <v>Material</v>
      </c>
      <c r="B48" s="891"/>
      <c r="C48" s="891"/>
      <c r="D48" s="891"/>
      <c r="E48" s="891"/>
      <c r="F48" s="892"/>
      <c r="G48" s="893" t="str">
        <f>VLOOKUP("production material",Translations!$A:$P,MATCH(PSW!AO7,Translations!A1:P1,0),0)</f>
        <v>Serial production material</v>
      </c>
      <c r="H48" s="894"/>
      <c r="I48" s="894"/>
      <c r="J48" s="894"/>
      <c r="K48" s="894"/>
      <c r="L48" s="895"/>
      <c r="M48" s="893" t="str">
        <f>VLOOKUP("no production material or",Translations!$A:$P,MATCH(PSW!AO7,Translations!A1:P1,0),0)</f>
        <v>No serial production material or different processing or customer specification not met</v>
      </c>
      <c r="N48" s="894"/>
      <c r="O48" s="894"/>
      <c r="P48" s="894"/>
      <c r="Q48" s="894"/>
      <c r="R48" s="894"/>
      <c r="S48" s="894"/>
      <c r="T48" s="894"/>
      <c r="U48" s="894"/>
      <c r="V48" s="894"/>
      <c r="W48" s="894"/>
      <c r="X48" s="894"/>
      <c r="Y48" s="894"/>
      <c r="Z48" s="894"/>
      <c r="AA48" s="894"/>
      <c r="AB48" s="895"/>
      <c r="AC48" s="893" t="str">
        <f>VLOOKUP("no production material",Translations!$A:$P,MATCH(PSW!AO7,Translations!A1:P1,0),0)</f>
        <v>No serial production material</v>
      </c>
      <c r="AD48" s="894"/>
      <c r="AE48" s="894"/>
      <c r="AF48" s="894"/>
      <c r="AG48" s="894"/>
      <c r="AH48" s="894"/>
      <c r="AI48" s="894"/>
      <c r="AJ48" s="894"/>
      <c r="AK48" s="894"/>
      <c r="AL48" s="894"/>
      <c r="AM48" s="894"/>
      <c r="AN48" s="895"/>
    </row>
    <row r="49" spans="1:40" s="45" customFormat="1" ht="15" customHeight="1">
      <c r="A49" s="157"/>
      <c r="B49" s="158"/>
      <c r="C49" s="158"/>
      <c r="D49" s="158"/>
      <c r="E49" s="158"/>
      <c r="F49" s="159"/>
      <c r="G49" s="932" t="str">
        <f>VLOOKUP("met",Translations!$A:$P,MATCH(PSW!AO7,Translations!A1:P1,0),0)</f>
        <v xml:space="preserve">Customer specification met </v>
      </c>
      <c r="H49" s="933"/>
      <c r="I49" s="933"/>
      <c r="J49" s="933"/>
      <c r="K49" s="933"/>
      <c r="L49" s="934"/>
      <c r="M49" s="929"/>
      <c r="N49" s="930"/>
      <c r="O49" s="930"/>
      <c r="P49" s="930"/>
      <c r="Q49" s="930"/>
      <c r="R49" s="930"/>
      <c r="S49" s="930"/>
      <c r="T49" s="930"/>
      <c r="U49" s="930"/>
      <c r="V49" s="930"/>
      <c r="W49" s="930"/>
      <c r="X49" s="930"/>
      <c r="Y49" s="930"/>
      <c r="Z49" s="930"/>
      <c r="AA49" s="930"/>
      <c r="AB49" s="931"/>
      <c r="AC49" s="899" t="str">
        <f>VLOOKUP("customer's specification",Translations!$A:$P,MATCH(PSW!AO7,Translations!A1:P1,0),0)</f>
        <v>Customer specification not met / demonstrated</v>
      </c>
      <c r="AD49" s="900"/>
      <c r="AE49" s="900"/>
      <c r="AF49" s="900"/>
      <c r="AG49" s="900"/>
      <c r="AH49" s="900"/>
      <c r="AI49" s="900"/>
      <c r="AJ49" s="900"/>
      <c r="AK49" s="900"/>
      <c r="AL49" s="900"/>
      <c r="AM49" s="900"/>
      <c r="AN49" s="901"/>
    </row>
    <row r="50" spans="1:40" s="45" customFormat="1" ht="26.25" customHeight="1" thickBot="1">
      <c r="A50" s="902"/>
      <c r="B50" s="903"/>
      <c r="C50" s="903"/>
      <c r="D50" s="903"/>
      <c r="E50" s="903"/>
      <c r="F50" s="904"/>
      <c r="G50" s="932"/>
      <c r="H50" s="933"/>
      <c r="I50" s="933"/>
      <c r="J50" s="933"/>
      <c r="K50" s="933"/>
      <c r="L50" s="934"/>
      <c r="M50" s="899" t="str">
        <f>VLOOKUP("Deviation permit",Translations!$A:$P,MATCH(PSW!AO7,Translations!A1:P1,0),0)</f>
        <v>Deviation permit is available; material data sheet (IMDS) is not available or incomplete</v>
      </c>
      <c r="N50" s="900"/>
      <c r="O50" s="900"/>
      <c r="P50" s="900"/>
      <c r="Q50" s="900"/>
      <c r="R50" s="900"/>
      <c r="S50" s="900"/>
      <c r="T50" s="900"/>
      <c r="U50" s="900"/>
      <c r="V50" s="900"/>
      <c r="W50" s="900"/>
      <c r="X50" s="900"/>
      <c r="Y50" s="900"/>
      <c r="Z50" s="900"/>
      <c r="AA50" s="900"/>
      <c r="AB50" s="901"/>
      <c r="AC50" s="899"/>
      <c r="AD50" s="900"/>
      <c r="AE50" s="900"/>
      <c r="AF50" s="900"/>
      <c r="AG50" s="900"/>
      <c r="AH50" s="900"/>
      <c r="AI50" s="900"/>
      <c r="AJ50" s="900"/>
      <c r="AK50" s="900"/>
      <c r="AL50" s="900"/>
      <c r="AM50" s="900"/>
      <c r="AN50" s="901"/>
    </row>
    <row r="51" spans="1:40" s="45" customFormat="1" ht="18" customHeight="1" thickBot="1">
      <c r="A51" s="122"/>
      <c r="B51" s="123"/>
      <c r="C51" s="123"/>
      <c r="D51" s="123"/>
      <c r="E51" s="123"/>
      <c r="F51" s="124"/>
      <c r="G51" s="212"/>
      <c r="H51" s="213"/>
      <c r="I51" s="228"/>
      <c r="J51" s="213"/>
      <c r="K51" s="213"/>
      <c r="L51" s="214"/>
      <c r="M51" s="212"/>
      <c r="N51" s="213"/>
      <c r="O51" s="213"/>
      <c r="P51" s="213"/>
      <c r="Q51" s="213"/>
      <c r="R51" s="213"/>
      <c r="S51" s="213"/>
      <c r="T51" s="213"/>
      <c r="U51" s="213"/>
      <c r="V51" s="228"/>
      <c r="W51" s="213"/>
      <c r="X51" s="213"/>
      <c r="Y51" s="213"/>
      <c r="Z51" s="213"/>
      <c r="AA51" s="213"/>
      <c r="AB51" s="214"/>
      <c r="AC51" s="212"/>
      <c r="AD51" s="213"/>
      <c r="AE51" s="213"/>
      <c r="AF51" s="213"/>
      <c r="AG51" s="213"/>
      <c r="AH51" s="228"/>
      <c r="AI51" s="213"/>
      <c r="AJ51" s="213"/>
      <c r="AK51" s="213"/>
      <c r="AL51" s="213"/>
      <c r="AM51" s="213"/>
      <c r="AN51" s="214"/>
    </row>
    <row r="52" spans="1:40" s="45" customFormat="1" ht="8.25" customHeight="1" thickBot="1">
      <c r="A52" s="122"/>
      <c r="B52" s="123"/>
      <c r="C52" s="123"/>
      <c r="D52" s="123"/>
      <c r="E52" s="123"/>
      <c r="F52" s="124"/>
      <c r="G52" s="215"/>
      <c r="H52" s="216"/>
      <c r="I52" s="216"/>
      <c r="J52" s="216"/>
      <c r="K52" s="216"/>
      <c r="L52" s="217"/>
      <c r="M52" s="215"/>
      <c r="N52" s="216"/>
      <c r="O52" s="216"/>
      <c r="P52" s="216"/>
      <c r="Q52" s="216"/>
      <c r="R52" s="216"/>
      <c r="S52" s="216"/>
      <c r="T52" s="216"/>
      <c r="U52" s="216"/>
      <c r="V52" s="216"/>
      <c r="W52" s="216"/>
      <c r="X52" s="216"/>
      <c r="Y52" s="216"/>
      <c r="Z52" s="216"/>
      <c r="AA52" s="216"/>
      <c r="AB52" s="217"/>
      <c r="AC52" s="215"/>
      <c r="AD52" s="216"/>
      <c r="AE52" s="216"/>
      <c r="AF52" s="216"/>
      <c r="AG52" s="216"/>
      <c r="AH52" s="216"/>
      <c r="AI52" s="216"/>
      <c r="AJ52" s="216"/>
      <c r="AK52" s="216"/>
      <c r="AL52" s="216"/>
      <c r="AM52" s="216"/>
      <c r="AN52" s="217"/>
    </row>
    <row r="53" spans="1:40" s="45" customFormat="1" ht="14.25" customHeight="1">
      <c r="A53" s="890" t="str">
        <f>VLOOKUP("installability",Translations!$A:$P,MATCH(PSW!AO7,Translations!A1:P1,0),0)</f>
        <v>Installability</v>
      </c>
      <c r="B53" s="891"/>
      <c r="C53" s="891"/>
      <c r="D53" s="891"/>
      <c r="E53" s="891"/>
      <c r="F53" s="892"/>
      <c r="G53" s="893" t="str">
        <f>VLOOKUP("installed",Translations!$A:$P,MATCH(PSW!AO7,Translations!A1:P1,0),0)</f>
        <v>Can be assembled</v>
      </c>
      <c r="H53" s="894"/>
      <c r="I53" s="894"/>
      <c r="J53" s="894"/>
      <c r="K53" s="894"/>
      <c r="L53" s="895"/>
      <c r="M53" s="893" t="str">
        <f>VLOOKUP("installed",Translations!$A:$P,MATCH(PSW!AO7,Translations!A1:P1,0),0)</f>
        <v>Can be assembled</v>
      </c>
      <c r="N53" s="894"/>
      <c r="O53" s="894"/>
      <c r="P53" s="894"/>
      <c r="Q53" s="894"/>
      <c r="R53" s="894"/>
      <c r="S53" s="894"/>
      <c r="T53" s="894"/>
      <c r="U53" s="894"/>
      <c r="V53" s="894"/>
      <c r="W53" s="894"/>
      <c r="X53" s="894"/>
      <c r="Y53" s="894"/>
      <c r="Z53" s="894"/>
      <c r="AA53" s="894"/>
      <c r="AB53" s="895"/>
      <c r="AC53" s="893" t="str">
        <f>VLOOKUP("not installed",Translations!$A:$P,MATCH(PSW!AO7,Translations!A1:P1,0),0)</f>
        <v>Cannot be assembled</v>
      </c>
      <c r="AD53" s="894"/>
      <c r="AE53" s="894"/>
      <c r="AF53" s="894"/>
      <c r="AG53" s="894"/>
      <c r="AH53" s="894"/>
      <c r="AI53" s="894"/>
      <c r="AJ53" s="894"/>
      <c r="AK53" s="894"/>
      <c r="AL53" s="894"/>
      <c r="AM53" s="894"/>
      <c r="AN53" s="895"/>
    </row>
    <row r="54" spans="1:40" s="45" customFormat="1" ht="19.5" customHeight="1" thickBot="1">
      <c r="A54" s="157"/>
      <c r="B54" s="158"/>
      <c r="C54" s="158"/>
      <c r="D54" s="158"/>
      <c r="E54" s="158"/>
      <c r="F54" s="159"/>
      <c r="G54" s="932" t="str">
        <f>VLOOKUP("without extrawork",Translations!$A:$P,MATCH(PSW!AO7,Translations!A1:P1,0),0)</f>
        <v>without extra work</v>
      </c>
      <c r="H54" s="933"/>
      <c r="I54" s="933"/>
      <c r="J54" s="933"/>
      <c r="K54" s="933"/>
      <c r="L54" s="934"/>
      <c r="M54" s="899" t="str">
        <f>VLOOKUP("with extrawork",Translations!$A:$P,MATCH(PSW!AO7,Translations!A1:P1,0),0)</f>
        <v>with extra work</v>
      </c>
      <c r="N54" s="900"/>
      <c r="O54" s="900"/>
      <c r="P54" s="900"/>
      <c r="Q54" s="900"/>
      <c r="R54" s="900"/>
      <c r="S54" s="900"/>
      <c r="T54" s="900"/>
      <c r="U54" s="900"/>
      <c r="V54" s="900"/>
      <c r="W54" s="900"/>
      <c r="X54" s="900"/>
      <c r="Y54" s="900"/>
      <c r="Z54" s="900"/>
      <c r="AA54" s="900"/>
      <c r="AB54" s="901"/>
      <c r="AC54" s="932"/>
      <c r="AD54" s="933"/>
      <c r="AE54" s="933"/>
      <c r="AF54" s="933"/>
      <c r="AG54" s="933"/>
      <c r="AH54" s="933"/>
      <c r="AI54" s="933"/>
      <c r="AJ54" s="933"/>
      <c r="AK54" s="933"/>
      <c r="AL54" s="933"/>
      <c r="AM54" s="933"/>
      <c r="AN54" s="934"/>
    </row>
    <row r="55" spans="1:40" s="45" customFormat="1" ht="18" customHeight="1" thickBot="1">
      <c r="A55" s="122"/>
      <c r="B55" s="123"/>
      <c r="C55" s="123"/>
      <c r="D55" s="123"/>
      <c r="E55" s="123"/>
      <c r="F55" s="124"/>
      <c r="G55" s="212"/>
      <c r="H55" s="213"/>
      <c r="I55" s="228"/>
      <c r="J55" s="213"/>
      <c r="K55" s="213"/>
      <c r="L55" s="214"/>
      <c r="M55" s="212"/>
      <c r="N55" s="213"/>
      <c r="O55" s="213"/>
      <c r="P55" s="213"/>
      <c r="Q55" s="213"/>
      <c r="R55" s="213"/>
      <c r="S55" s="213"/>
      <c r="T55" s="213"/>
      <c r="U55" s="213"/>
      <c r="V55" s="228"/>
      <c r="W55" s="213"/>
      <c r="X55" s="213"/>
      <c r="Y55" s="213"/>
      <c r="Z55" s="213"/>
      <c r="AA55" s="213"/>
      <c r="AB55" s="214"/>
      <c r="AC55" s="212"/>
      <c r="AD55" s="213"/>
      <c r="AE55" s="213"/>
      <c r="AF55" s="213"/>
      <c r="AG55" s="213"/>
      <c r="AH55" s="228"/>
      <c r="AI55" s="213"/>
      <c r="AJ55" s="213"/>
      <c r="AK55" s="213"/>
      <c r="AL55" s="213"/>
      <c r="AM55" s="213"/>
      <c r="AN55" s="214"/>
    </row>
    <row r="56" spans="1:40" s="45" customFormat="1" ht="9" customHeight="1" thickBot="1">
      <c r="A56" s="126"/>
      <c r="B56" s="128"/>
      <c r="C56" s="128"/>
      <c r="D56" s="128"/>
      <c r="E56" s="128"/>
      <c r="F56" s="129"/>
      <c r="G56" s="215"/>
      <c r="H56" s="216"/>
      <c r="I56" s="216"/>
      <c r="J56" s="216"/>
      <c r="K56" s="216"/>
      <c r="L56" s="217"/>
      <c r="M56" s="215"/>
      <c r="N56" s="216"/>
      <c r="O56" s="216"/>
      <c r="P56" s="216"/>
      <c r="Q56" s="216"/>
      <c r="R56" s="216"/>
      <c r="S56" s="216"/>
      <c r="T56" s="216"/>
      <c r="U56" s="216"/>
      <c r="V56" s="216"/>
      <c r="W56" s="216"/>
      <c r="X56" s="216"/>
      <c r="Y56" s="216"/>
      <c r="Z56" s="216"/>
      <c r="AA56" s="216"/>
      <c r="AB56" s="217"/>
      <c r="AC56" s="215"/>
      <c r="AD56" s="216"/>
      <c r="AE56" s="216"/>
      <c r="AF56" s="216"/>
      <c r="AG56" s="216"/>
      <c r="AH56" s="216"/>
      <c r="AI56" s="216"/>
      <c r="AJ56" s="216"/>
      <c r="AK56" s="216"/>
      <c r="AL56" s="216"/>
      <c r="AM56" s="216"/>
      <c r="AN56" s="217"/>
    </row>
    <row r="57" spans="1:40" s="45" customFormat="1" ht="15.75" customHeight="1">
      <c r="A57" s="923" t="str">
        <f>VLOOKUP("function",Translations!$A:$P,MATCH(PSW!AO7,Translations!A1:P1,0),0)</f>
        <v>Function</v>
      </c>
      <c r="B57" s="924"/>
      <c r="C57" s="924"/>
      <c r="D57" s="924"/>
      <c r="E57" s="924"/>
      <c r="F57" s="925"/>
      <c r="G57" s="893" t="str">
        <f>VLOOKUP("function satisfied",Translations!$A:$P,MATCH(PSW!AO7,Translations!A1:P1,0),0)</f>
        <v>Function satisfied</v>
      </c>
      <c r="H57" s="894"/>
      <c r="I57" s="894"/>
      <c r="J57" s="894"/>
      <c r="K57" s="894"/>
      <c r="L57" s="895"/>
      <c r="M57" s="893" t="str">
        <f>VLOOKUP("minor deviation",Translations!$A:$P,MATCH(PSW!AO7,Translations!A1:P1,0),0)</f>
        <v>Minor deviation from specification</v>
      </c>
      <c r="N57" s="894"/>
      <c r="O57" s="894"/>
      <c r="P57" s="894"/>
      <c r="Q57" s="894"/>
      <c r="R57" s="894"/>
      <c r="S57" s="894"/>
      <c r="T57" s="894"/>
      <c r="U57" s="894"/>
      <c r="V57" s="894"/>
      <c r="W57" s="894"/>
      <c r="X57" s="894"/>
      <c r="Y57" s="894"/>
      <c r="Z57" s="894"/>
      <c r="AA57" s="894"/>
      <c r="AB57" s="895"/>
      <c r="AC57" s="893" t="str">
        <f>VLOOKUP("or not demonstrated",Translations!$A:$P,MATCH(PSW!AO7,Translations!A1:P1,0),0)</f>
        <v>Function NOK or not demonstrated</v>
      </c>
      <c r="AD57" s="894"/>
      <c r="AE57" s="894"/>
      <c r="AF57" s="894"/>
      <c r="AG57" s="894"/>
      <c r="AH57" s="894"/>
      <c r="AI57" s="894"/>
      <c r="AJ57" s="894"/>
      <c r="AK57" s="894"/>
      <c r="AL57" s="894"/>
      <c r="AM57" s="894"/>
      <c r="AN57" s="895"/>
    </row>
    <row r="58" spans="1:40" s="45" customFormat="1" ht="18.75" customHeight="1" thickBot="1">
      <c r="A58" s="160"/>
      <c r="B58" s="161"/>
      <c r="C58" s="161"/>
      <c r="D58" s="161"/>
      <c r="E58" s="161"/>
      <c r="F58" s="162"/>
      <c r="G58" s="899" t="str">
        <f>VLOOKUP("complies with s",Translations!$A:$P,MATCH(PSW!AO7,Translations!A1:P1,0),0)</f>
        <v>complies with specification</v>
      </c>
      <c r="H58" s="900"/>
      <c r="I58" s="900"/>
      <c r="J58" s="900"/>
      <c r="K58" s="900"/>
      <c r="L58" s="901"/>
      <c r="M58" s="236"/>
      <c r="N58" s="237"/>
      <c r="O58" s="237"/>
      <c r="P58" s="237"/>
      <c r="Q58" s="237"/>
      <c r="R58" s="237"/>
      <c r="S58" s="237"/>
      <c r="T58" s="237"/>
      <c r="U58" s="237"/>
      <c r="V58" s="237"/>
      <c r="W58" s="237"/>
      <c r="X58" s="237"/>
      <c r="Y58" s="237"/>
      <c r="Z58" s="237"/>
      <c r="AA58" s="237"/>
      <c r="AB58" s="238"/>
      <c r="AC58" s="899" t="str">
        <f>VLOOKUP("s.n.m.",Translations!$A:$P,MATCH(PSW!AO7,Translations!A1:P1,0),0)</f>
        <v>Specification not met</v>
      </c>
      <c r="AD58" s="900"/>
      <c r="AE58" s="900"/>
      <c r="AF58" s="900"/>
      <c r="AG58" s="900"/>
      <c r="AH58" s="900"/>
      <c r="AI58" s="900"/>
      <c r="AJ58" s="900"/>
      <c r="AK58" s="900"/>
      <c r="AL58" s="900"/>
      <c r="AM58" s="900"/>
      <c r="AN58" s="901"/>
    </row>
    <row r="59" spans="1:40" s="45" customFormat="1" ht="18.75" customHeight="1" thickBot="1">
      <c r="A59" s="896"/>
      <c r="B59" s="897"/>
      <c r="C59" s="897"/>
      <c r="D59" s="897"/>
      <c r="E59" s="897"/>
      <c r="F59" s="898"/>
      <c r="G59" s="212"/>
      <c r="H59" s="213"/>
      <c r="I59" s="228"/>
      <c r="J59" s="213"/>
      <c r="K59" s="213"/>
      <c r="L59" s="214"/>
      <c r="M59" s="212"/>
      <c r="N59" s="213"/>
      <c r="O59" s="213"/>
      <c r="P59" s="213"/>
      <c r="Q59" s="213"/>
      <c r="R59" s="213"/>
      <c r="S59" s="213"/>
      <c r="T59" s="213"/>
      <c r="U59" s="213"/>
      <c r="V59" s="228"/>
      <c r="W59" s="213"/>
      <c r="X59" s="213"/>
      <c r="Y59" s="213"/>
      <c r="Z59" s="213"/>
      <c r="AA59" s="213"/>
      <c r="AB59" s="214"/>
      <c r="AC59" s="212"/>
      <c r="AD59" s="213"/>
      <c r="AE59" s="213"/>
      <c r="AF59" s="213"/>
      <c r="AG59" s="213"/>
      <c r="AH59" s="228"/>
      <c r="AI59" s="213"/>
      <c r="AJ59" s="213"/>
      <c r="AK59" s="213"/>
      <c r="AL59" s="213"/>
      <c r="AM59" s="213"/>
      <c r="AN59" s="214"/>
    </row>
    <row r="60" spans="1:40" s="45" customFormat="1" ht="8.25" customHeight="1" thickBot="1">
      <c r="A60" s="137"/>
      <c r="B60" s="138"/>
      <c r="C60" s="138"/>
      <c r="D60" s="138"/>
      <c r="E60" s="138"/>
      <c r="F60" s="139"/>
      <c r="G60" s="215"/>
      <c r="H60" s="216"/>
      <c r="I60" s="216"/>
      <c r="J60" s="216"/>
      <c r="K60" s="216"/>
      <c r="L60" s="217"/>
      <c r="M60" s="215"/>
      <c r="N60" s="216"/>
      <c r="O60" s="216"/>
      <c r="P60" s="216"/>
      <c r="Q60" s="216"/>
      <c r="R60" s="216"/>
      <c r="S60" s="216"/>
      <c r="T60" s="216"/>
      <c r="U60" s="216"/>
      <c r="V60" s="216"/>
      <c r="W60" s="216"/>
      <c r="X60" s="216"/>
      <c r="Y60" s="216"/>
      <c r="Z60" s="216"/>
      <c r="AA60" s="216"/>
      <c r="AB60" s="217"/>
      <c r="AC60" s="215"/>
      <c r="AD60" s="216"/>
      <c r="AE60" s="216"/>
      <c r="AF60" s="216"/>
      <c r="AG60" s="216"/>
      <c r="AH60" s="216"/>
      <c r="AI60" s="216"/>
      <c r="AJ60" s="216"/>
      <c r="AK60" s="216"/>
      <c r="AL60" s="216"/>
      <c r="AM60" s="216"/>
      <c r="AN60" s="217"/>
    </row>
    <row r="61" spans="1:40" s="45" customFormat="1" ht="14.25" customHeight="1">
      <c r="A61" s="923" t="str">
        <f>VLOOKUP("parts",Translations!$A:$P,MATCH(PSW!AO7,Translations!A1:P1,0),0)</f>
        <v>Purchased parts</v>
      </c>
      <c r="B61" s="924"/>
      <c r="C61" s="924"/>
      <c r="D61" s="924"/>
      <c r="E61" s="924"/>
      <c r="F61" s="925"/>
      <c r="G61" s="893" t="str">
        <f>VLOOKUP("frei",Translations!$A:$P,MATCH(PSW!AO7,Translations!A1:P1,0),0)</f>
        <v>Released</v>
      </c>
      <c r="H61" s="894"/>
      <c r="I61" s="894"/>
      <c r="J61" s="894"/>
      <c r="K61" s="894"/>
      <c r="L61" s="895"/>
      <c r="M61" s="893" t="str">
        <f>VLOOKUP("bedingt frei",Translations!$A:$P,MATCH(PSW!AO7,Translations!A1:P1,0),0)</f>
        <v>Conditionally released</v>
      </c>
      <c r="N61" s="894"/>
      <c r="O61" s="894"/>
      <c r="P61" s="894"/>
      <c r="Q61" s="894"/>
      <c r="R61" s="894"/>
      <c r="S61" s="894"/>
      <c r="T61" s="894"/>
      <c r="U61" s="894"/>
      <c r="V61" s="894"/>
      <c r="W61" s="894"/>
      <c r="X61" s="894"/>
      <c r="Y61" s="894"/>
      <c r="Z61" s="894"/>
      <c r="AA61" s="894"/>
      <c r="AB61" s="895"/>
      <c r="AC61" s="893" t="str">
        <f>VLOOKUP("abgelehnt",Translations!$A:$P,MATCH(PSW!AO7,Translations!A1:P1,0),0)</f>
        <v>Rejected or not yet homologated</v>
      </c>
      <c r="AD61" s="894"/>
      <c r="AE61" s="894"/>
      <c r="AF61" s="894"/>
      <c r="AG61" s="894"/>
      <c r="AH61" s="894"/>
      <c r="AI61" s="894"/>
      <c r="AJ61" s="894"/>
      <c r="AK61" s="894"/>
      <c r="AL61" s="894"/>
      <c r="AM61" s="894"/>
      <c r="AN61" s="895"/>
    </row>
    <row r="62" spans="1:40" s="45" customFormat="1" ht="11.25" customHeight="1" thickBot="1">
      <c r="A62" s="926"/>
      <c r="B62" s="927"/>
      <c r="C62" s="927"/>
      <c r="D62" s="927"/>
      <c r="E62" s="927"/>
      <c r="F62" s="928"/>
      <c r="G62" s="929"/>
      <c r="H62" s="930"/>
      <c r="I62" s="930"/>
      <c r="J62" s="930"/>
      <c r="K62" s="930"/>
      <c r="L62" s="931"/>
      <c r="M62" s="932"/>
      <c r="N62" s="933"/>
      <c r="O62" s="933"/>
      <c r="P62" s="933"/>
      <c r="Q62" s="933"/>
      <c r="R62" s="933"/>
      <c r="S62" s="933"/>
      <c r="T62" s="933"/>
      <c r="U62" s="933"/>
      <c r="V62" s="933"/>
      <c r="W62" s="933"/>
      <c r="X62" s="933"/>
      <c r="Y62" s="933"/>
      <c r="Z62" s="933"/>
      <c r="AA62" s="933"/>
      <c r="AB62" s="934"/>
      <c r="AC62" s="932"/>
      <c r="AD62" s="933"/>
      <c r="AE62" s="933"/>
      <c r="AF62" s="933"/>
      <c r="AG62" s="933"/>
      <c r="AH62" s="933"/>
      <c r="AI62" s="933"/>
      <c r="AJ62" s="933"/>
      <c r="AK62" s="933"/>
      <c r="AL62" s="933"/>
      <c r="AM62" s="933"/>
      <c r="AN62" s="934"/>
    </row>
    <row r="63" spans="1:40" s="45" customFormat="1" ht="18" customHeight="1" thickBot="1">
      <c r="A63" s="140"/>
      <c r="B63" s="161"/>
      <c r="C63" s="161"/>
      <c r="D63" s="161"/>
      <c r="E63" s="161"/>
      <c r="F63" s="162"/>
      <c r="G63" s="209"/>
      <c r="H63" s="210"/>
      <c r="I63" s="227"/>
      <c r="J63" s="210"/>
      <c r="K63" s="210"/>
      <c r="L63" s="211"/>
      <c r="M63" s="212"/>
      <c r="N63" s="213"/>
      <c r="O63" s="213"/>
      <c r="P63" s="213"/>
      <c r="Q63" s="213"/>
      <c r="R63" s="213"/>
      <c r="S63" s="213"/>
      <c r="T63" s="213"/>
      <c r="U63" s="213"/>
      <c r="V63" s="228"/>
      <c r="W63" s="213"/>
      <c r="X63" s="213"/>
      <c r="Y63" s="213"/>
      <c r="Z63" s="213"/>
      <c r="AA63" s="213"/>
      <c r="AB63" s="214"/>
      <c r="AC63" s="212"/>
      <c r="AD63" s="213"/>
      <c r="AE63" s="213"/>
      <c r="AF63" s="213"/>
      <c r="AG63" s="213"/>
      <c r="AH63" s="228"/>
      <c r="AI63" s="213"/>
      <c r="AJ63" s="213"/>
      <c r="AK63" s="213"/>
      <c r="AL63" s="213"/>
      <c r="AM63" s="213"/>
      <c r="AN63" s="214"/>
    </row>
    <row r="64" spans="1:40" s="45" customFormat="1" ht="9" customHeight="1" thickBot="1">
      <c r="A64" s="141"/>
      <c r="B64" s="142"/>
      <c r="C64" s="142"/>
      <c r="D64" s="142"/>
      <c r="E64" s="142"/>
      <c r="F64" s="143"/>
      <c r="G64" s="224"/>
      <c r="H64" s="225"/>
      <c r="I64" s="225"/>
      <c r="J64" s="225"/>
      <c r="K64" s="225"/>
      <c r="L64" s="226"/>
      <c r="M64" s="215"/>
      <c r="N64" s="216"/>
      <c r="O64" s="216"/>
      <c r="P64" s="216"/>
      <c r="Q64" s="216"/>
      <c r="R64" s="216"/>
      <c r="S64" s="216"/>
      <c r="T64" s="216"/>
      <c r="U64" s="216"/>
      <c r="V64" s="216"/>
      <c r="W64" s="216"/>
      <c r="X64" s="216"/>
      <c r="Y64" s="216"/>
      <c r="Z64" s="216"/>
      <c r="AA64" s="216"/>
      <c r="AB64" s="217"/>
      <c r="AC64" s="215"/>
      <c r="AD64" s="216"/>
      <c r="AE64" s="216"/>
      <c r="AF64" s="216"/>
      <c r="AG64" s="216"/>
      <c r="AH64" s="216"/>
      <c r="AI64" s="216"/>
      <c r="AJ64" s="216"/>
      <c r="AK64" s="216"/>
      <c r="AL64" s="216"/>
      <c r="AM64" s="216"/>
      <c r="AN64" s="217"/>
    </row>
    <row r="65" spans="1:40" s="45" customFormat="1" ht="6" customHeight="1">
      <c r="A65" s="67"/>
      <c r="B65" s="144"/>
      <c r="C65" s="144"/>
      <c r="D65" s="144"/>
      <c r="E65" s="144"/>
      <c r="F65" s="144"/>
      <c r="G65" s="145"/>
      <c r="H65" s="145"/>
      <c r="I65" s="145"/>
      <c r="J65" s="145"/>
      <c r="K65" s="145"/>
      <c r="L65" s="145"/>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row>
    <row r="66" spans="1:40" s="45" customFormat="1" ht="12.75" customHeight="1" thickBot="1">
      <c r="A66" s="67"/>
      <c r="B66" s="146"/>
      <c r="C66" s="146"/>
      <c r="D66" s="146"/>
      <c r="E66" s="146"/>
      <c r="F66" s="146"/>
      <c r="G66" s="146"/>
      <c r="H66" s="146"/>
      <c r="I66" s="67"/>
      <c r="J66" s="67"/>
      <c r="K66" s="67"/>
      <c r="L66" s="67"/>
      <c r="M66" s="213"/>
      <c r="N66" s="213"/>
      <c r="O66" s="213"/>
      <c r="P66" s="213"/>
      <c r="Q66" s="213"/>
      <c r="R66" s="213"/>
      <c r="S66" s="213"/>
      <c r="T66" s="213"/>
      <c r="U66" s="123"/>
      <c r="V66" s="123"/>
      <c r="W66" s="123"/>
      <c r="X66" s="123"/>
      <c r="Y66" s="123"/>
      <c r="Z66" s="123"/>
      <c r="AA66" s="123"/>
      <c r="AB66" s="123"/>
      <c r="AC66" s="123"/>
      <c r="AD66" s="123"/>
      <c r="AE66" s="123"/>
      <c r="AF66" s="123"/>
      <c r="AG66" s="123"/>
      <c r="AH66" s="123"/>
      <c r="AI66" s="123"/>
      <c r="AJ66" s="123"/>
      <c r="AK66" s="123"/>
      <c r="AL66" s="123"/>
      <c r="AM66" s="123"/>
      <c r="AN66" s="123"/>
    </row>
    <row r="67" spans="1:40" s="45" customFormat="1" ht="18" customHeight="1" thickBot="1">
      <c r="A67" s="67"/>
      <c r="B67" s="123"/>
      <c r="C67" s="123"/>
      <c r="D67" s="123"/>
      <c r="E67" s="123"/>
      <c r="F67" s="912" t="str">
        <f>VLOOKUP("overall result",Translations!$A:$P,MATCH(PSW!AO7,Translations!A1:P1,0),0)</f>
        <v>Overall result:</v>
      </c>
      <c r="G67" s="912"/>
      <c r="H67" s="912"/>
      <c r="I67" s="912"/>
      <c r="J67" s="912"/>
      <c r="K67" s="912"/>
      <c r="L67" s="912"/>
      <c r="M67" s="213"/>
      <c r="N67" s="908"/>
      <c r="O67" s="909"/>
      <c r="P67" s="909"/>
      <c r="Q67" s="909"/>
      <c r="R67" s="909"/>
      <c r="S67" s="910"/>
      <c r="T67" s="213"/>
      <c r="U67" s="916" t="str">
        <f>VLOOKUP("(i.O., bedingt i.O. / n.i.O.)",Translations!$A:$P,MATCH(PSW!AO7,Translations!A1:P1,0),0)</f>
        <v>(OK / conditionally OK / NOK)</v>
      </c>
      <c r="V67" s="916"/>
      <c r="W67" s="916"/>
      <c r="X67" s="916"/>
      <c r="Y67" s="916"/>
      <c r="Z67" s="916"/>
      <c r="AA67" s="916"/>
      <c r="AB67" s="916"/>
      <c r="AC67" s="916"/>
      <c r="AD67" s="916"/>
      <c r="AE67" s="123"/>
      <c r="AF67" s="123"/>
      <c r="AG67" s="123"/>
      <c r="AH67" s="123"/>
      <c r="AI67" s="123"/>
      <c r="AJ67" s="123"/>
      <c r="AK67" s="123"/>
      <c r="AL67" s="123"/>
      <c r="AM67" s="123"/>
      <c r="AN67" s="123"/>
    </row>
    <row r="68" spans="1:40" s="45" customFormat="1" ht="12.75" customHeight="1">
      <c r="A68" s="67"/>
      <c r="B68" s="123"/>
      <c r="C68" s="123"/>
      <c r="D68" s="123"/>
      <c r="E68" s="123"/>
      <c r="F68" s="123"/>
      <c r="G68" s="123"/>
      <c r="H68" s="123"/>
      <c r="I68" s="156"/>
      <c r="J68" s="156"/>
      <c r="K68" s="156"/>
      <c r="L68" s="156"/>
      <c r="M68" s="213"/>
      <c r="N68" s="213"/>
      <c r="O68" s="213"/>
      <c r="P68" s="213"/>
      <c r="Q68" s="213"/>
      <c r="R68" s="213"/>
      <c r="S68" s="213"/>
      <c r="T68" s="213"/>
      <c r="U68" s="123"/>
      <c r="V68" s="123"/>
      <c r="W68" s="123"/>
      <c r="X68" s="123"/>
      <c r="Y68" s="123"/>
      <c r="Z68" s="123"/>
      <c r="AA68" s="123"/>
      <c r="AB68" s="123"/>
      <c r="AC68" s="123"/>
      <c r="AD68" s="123"/>
      <c r="AE68" s="123"/>
      <c r="AF68" s="123"/>
      <c r="AG68" s="123"/>
      <c r="AH68" s="123"/>
      <c r="AI68" s="123"/>
      <c r="AJ68" s="123"/>
      <c r="AK68" s="123"/>
      <c r="AL68" s="123"/>
      <c r="AM68" s="123"/>
      <c r="AN68" s="123"/>
    </row>
    <row r="69" spans="1:40" s="45" customFormat="1" ht="12" customHeight="1">
      <c r="A69" s="67"/>
      <c r="B69" s="123"/>
      <c r="C69" s="123"/>
      <c r="D69" s="123"/>
      <c r="E69" s="123"/>
      <c r="F69" s="123"/>
      <c r="G69" s="123"/>
      <c r="H69" s="123"/>
      <c r="I69" s="147"/>
      <c r="J69" s="147"/>
      <c r="K69" s="147"/>
      <c r="L69" s="147"/>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row>
    <row r="70" spans="1:40" s="45" customFormat="1" ht="19.5" customHeight="1">
      <c r="A70" s="241"/>
      <c r="B70" s="913"/>
      <c r="C70" s="913"/>
      <c r="D70" s="913"/>
      <c r="E70" s="913"/>
      <c r="F70" s="913"/>
      <c r="G70" s="123"/>
      <c r="H70" s="123"/>
      <c r="I70" s="913"/>
      <c r="J70" s="913"/>
      <c r="K70" s="913"/>
      <c r="L70" s="913"/>
      <c r="M70" s="913"/>
      <c r="N70" s="913"/>
      <c r="O70" s="913"/>
      <c r="P70" s="913"/>
      <c r="Q70" s="913"/>
      <c r="R70" s="913"/>
      <c r="S70" s="913"/>
      <c r="T70" s="913"/>
      <c r="U70" s="913"/>
      <c r="V70" s="913"/>
      <c r="W70" s="913"/>
      <c r="X70" s="913"/>
      <c r="Y70" s="913"/>
      <c r="Z70" s="913"/>
      <c r="AA70" s="913"/>
      <c r="AB70" s="913"/>
      <c r="AC70" s="123"/>
      <c r="AD70" s="123"/>
      <c r="AE70" s="123"/>
      <c r="AF70" s="123"/>
      <c r="AG70" s="123"/>
      <c r="AH70" s="123"/>
      <c r="AI70" s="123"/>
      <c r="AJ70" s="123"/>
      <c r="AK70" s="123"/>
      <c r="AL70" s="123"/>
      <c r="AM70" s="123"/>
      <c r="AN70" s="123"/>
    </row>
    <row r="71" spans="1:40" s="45" customFormat="1" ht="3.75" customHeight="1">
      <c r="A71" s="241"/>
      <c r="B71" s="913"/>
      <c r="C71" s="913"/>
      <c r="D71" s="913"/>
      <c r="E71" s="913"/>
      <c r="F71" s="913"/>
      <c r="G71" s="123"/>
      <c r="H71" s="123"/>
      <c r="I71" s="913"/>
      <c r="J71" s="913"/>
      <c r="K71" s="913"/>
      <c r="L71" s="913"/>
      <c r="M71" s="913"/>
      <c r="N71" s="913"/>
      <c r="O71" s="913"/>
      <c r="P71" s="913"/>
      <c r="Q71" s="913"/>
      <c r="R71" s="913"/>
      <c r="S71" s="913"/>
      <c r="T71" s="913"/>
      <c r="U71" s="913"/>
      <c r="V71" s="913"/>
      <c r="W71" s="913"/>
      <c r="X71" s="913"/>
      <c r="Y71" s="913"/>
      <c r="Z71" s="913"/>
      <c r="AA71" s="913"/>
      <c r="AB71" s="913"/>
      <c r="AC71" s="123"/>
      <c r="AD71" s="123"/>
      <c r="AE71" s="123"/>
      <c r="AF71" s="123"/>
      <c r="AG71" s="123"/>
      <c r="AH71" s="123"/>
      <c r="AI71" s="123"/>
      <c r="AJ71" s="123"/>
      <c r="AK71" s="123"/>
      <c r="AL71" s="123"/>
      <c r="AM71" s="123"/>
      <c r="AN71" s="123"/>
    </row>
    <row r="72" spans="1:40" s="45" customFormat="1" ht="3.75" customHeight="1">
      <c r="A72" s="241"/>
      <c r="B72" s="913"/>
      <c r="C72" s="913"/>
      <c r="D72" s="913"/>
      <c r="E72" s="913"/>
      <c r="F72" s="913"/>
      <c r="G72" s="123"/>
      <c r="H72" s="123"/>
      <c r="I72" s="913"/>
      <c r="J72" s="913"/>
      <c r="K72" s="913"/>
      <c r="L72" s="913"/>
      <c r="M72" s="913"/>
      <c r="N72" s="913"/>
      <c r="O72" s="913"/>
      <c r="P72" s="913"/>
      <c r="Q72" s="913"/>
      <c r="R72" s="913"/>
      <c r="S72" s="913"/>
      <c r="T72" s="913"/>
      <c r="U72" s="913"/>
      <c r="V72" s="913"/>
      <c r="W72" s="913"/>
      <c r="X72" s="913"/>
      <c r="Y72" s="913"/>
      <c r="Z72" s="913"/>
      <c r="AA72" s="913"/>
      <c r="AB72" s="913"/>
      <c r="AC72" s="123"/>
      <c r="AD72" s="123"/>
      <c r="AE72" s="123"/>
      <c r="AF72" s="123"/>
      <c r="AG72" s="123"/>
      <c r="AH72" s="123"/>
      <c r="AI72" s="123"/>
      <c r="AJ72" s="123"/>
      <c r="AK72" s="123"/>
      <c r="AL72" s="123"/>
      <c r="AM72" s="123"/>
      <c r="AN72" s="123"/>
    </row>
    <row r="73" spans="1:40" s="45" customFormat="1" ht="19.5" customHeight="1">
      <c r="A73" s="242"/>
      <c r="B73" s="914"/>
      <c r="C73" s="914"/>
      <c r="D73" s="914"/>
      <c r="E73" s="914"/>
      <c r="F73" s="914"/>
      <c r="G73" s="123"/>
      <c r="H73" s="123"/>
      <c r="I73" s="914"/>
      <c r="J73" s="914"/>
      <c r="K73" s="914"/>
      <c r="L73" s="914"/>
      <c r="M73" s="914"/>
      <c r="N73" s="914"/>
      <c r="O73" s="914"/>
      <c r="P73" s="914"/>
      <c r="Q73" s="914"/>
      <c r="R73" s="914"/>
      <c r="S73" s="914"/>
      <c r="T73" s="914"/>
      <c r="U73" s="914"/>
      <c r="V73" s="914"/>
      <c r="W73" s="914"/>
      <c r="X73" s="914"/>
      <c r="Y73" s="914"/>
      <c r="Z73" s="914"/>
      <c r="AA73" s="914"/>
      <c r="AB73" s="914"/>
      <c r="AC73" s="123"/>
      <c r="AD73" s="123"/>
      <c r="AE73" s="123"/>
      <c r="AF73" s="123"/>
      <c r="AG73" s="123"/>
      <c r="AH73" s="123"/>
      <c r="AI73" s="123"/>
      <c r="AJ73" s="123"/>
      <c r="AK73" s="123"/>
      <c r="AL73" s="123"/>
      <c r="AM73" s="123"/>
      <c r="AN73" s="123"/>
    </row>
    <row r="74" spans="1:40" s="45" customFormat="1" ht="12.75" customHeight="1">
      <c r="A74" s="67"/>
      <c r="B74" s="911" t="str">
        <f>VLOOKUP("date",Translations!$A:$P,MATCH(PSW!AO7,Translations!A1:P1,0),0)</f>
        <v>Date</v>
      </c>
      <c r="C74" s="911"/>
      <c r="D74" s="911"/>
      <c r="E74" s="911"/>
      <c r="F74" s="911"/>
      <c r="G74" s="123"/>
      <c r="H74" s="123"/>
      <c r="I74" s="915" t="str">
        <f>VLOOKUP("signature supplier",Translations!$A:$P,MATCH(PSW!AO7,Translations!A1:P1,0),0)</f>
        <v>Signature supplier</v>
      </c>
      <c r="J74" s="915"/>
      <c r="K74" s="915"/>
      <c r="L74" s="915"/>
      <c r="M74" s="915"/>
      <c r="N74" s="915"/>
      <c r="O74" s="915"/>
      <c r="P74" s="915"/>
      <c r="Q74" s="915"/>
      <c r="R74" s="915"/>
      <c r="S74" s="915"/>
      <c r="T74" s="915"/>
      <c r="U74" s="915"/>
      <c r="V74" s="915"/>
      <c r="W74" s="915"/>
      <c r="X74" s="123"/>
      <c r="Y74" s="123"/>
      <c r="Z74" s="123"/>
      <c r="AA74" s="123"/>
      <c r="AB74" s="123"/>
      <c r="AC74" s="123"/>
      <c r="AD74" s="123"/>
      <c r="AE74" s="123"/>
      <c r="AF74" s="123"/>
      <c r="AG74" s="123"/>
      <c r="AH74" s="123"/>
      <c r="AI74" s="123"/>
      <c r="AJ74" s="123"/>
      <c r="AK74" s="123"/>
      <c r="AL74" s="123"/>
      <c r="AM74" s="123"/>
      <c r="AN74" s="123"/>
    </row>
    <row r="75" spans="1:40" s="45" customFormat="1" ht="12.75" customHeight="1">
      <c r="A75" s="67"/>
      <c r="B75" s="123"/>
      <c r="C75" s="123"/>
      <c r="D75" s="123"/>
      <c r="E75" s="147"/>
      <c r="F75" s="123"/>
      <c r="G75" s="123"/>
      <c r="H75" s="123"/>
      <c r="I75" s="123"/>
      <c r="J75" s="123"/>
      <c r="K75" s="123"/>
      <c r="L75" s="147"/>
      <c r="M75" s="147"/>
      <c r="N75" s="147"/>
      <c r="O75" s="147"/>
      <c r="P75" s="147"/>
      <c r="Q75" s="147"/>
      <c r="R75" s="147"/>
      <c r="S75" s="147"/>
      <c r="T75" s="147"/>
      <c r="U75" s="147"/>
      <c r="V75" s="123"/>
      <c r="W75" s="123"/>
      <c r="X75" s="123"/>
      <c r="Y75" s="123"/>
      <c r="Z75" s="123"/>
      <c r="AA75" s="123"/>
      <c r="AB75" s="123"/>
      <c r="AC75" s="123"/>
      <c r="AD75" s="123"/>
      <c r="AE75" s="123"/>
      <c r="AF75" s="123"/>
      <c r="AG75" s="123"/>
      <c r="AH75" s="123"/>
      <c r="AI75" s="123"/>
      <c r="AJ75" s="123"/>
      <c r="AK75" s="123"/>
      <c r="AL75" s="123"/>
      <c r="AM75" s="123"/>
      <c r="AN75" s="123"/>
    </row>
    <row r="76" spans="1:40" s="45" customFormat="1" ht="12.75" customHeight="1">
      <c r="A76"/>
      <c r="B76"/>
      <c r="C76"/>
      <c r="D76"/>
      <c r="E76"/>
      <c r="F76"/>
      <c r="G76"/>
      <c r="H76"/>
      <c r="I76"/>
      <c r="J76"/>
      <c r="K76"/>
      <c r="L76"/>
      <c r="M76"/>
      <c r="N76"/>
      <c r="O76"/>
      <c r="P76"/>
      <c r="Q76"/>
      <c r="R76"/>
      <c r="S76"/>
      <c r="T76"/>
      <c r="U76"/>
      <c r="V76"/>
      <c r="W76"/>
      <c r="X76"/>
      <c r="Y76"/>
      <c r="Z76"/>
      <c r="AA76"/>
      <c r="AB76"/>
      <c r="AC76"/>
      <c r="AD76"/>
      <c r="AE76"/>
      <c r="AF76"/>
      <c r="AG76"/>
      <c r="AH76"/>
      <c r="AI76" s="67"/>
      <c r="AJ76" s="67"/>
      <c r="AK76" s="67"/>
    </row>
    <row r="77" spans="1:40" ht="12.75" customHeight="1"/>
    <row r="78" spans="1:40" s="45" customFormat="1" ht="12.75" customHeight="1">
      <c r="A78"/>
      <c r="B78"/>
      <c r="C78"/>
      <c r="D78"/>
      <c r="E78"/>
      <c r="F78"/>
      <c r="G78"/>
      <c r="H78"/>
      <c r="I78"/>
      <c r="J78"/>
      <c r="K78"/>
      <c r="L78"/>
      <c r="M78"/>
      <c r="N78"/>
      <c r="O78"/>
      <c r="P78"/>
      <c r="Q78"/>
      <c r="R78"/>
      <c r="S78"/>
      <c r="T78"/>
      <c r="U78"/>
      <c r="V78"/>
      <c r="W78"/>
      <c r="X78"/>
      <c r="Y78"/>
      <c r="Z78"/>
      <c r="AA78"/>
      <c r="AB78"/>
      <c r="AC78"/>
      <c r="AD78"/>
      <c r="AE78"/>
      <c r="AF78"/>
      <c r="AG78"/>
      <c r="AH78"/>
      <c r="AI78" s="67"/>
      <c r="AJ78" s="67"/>
      <c r="AK78" s="67"/>
    </row>
    <row r="79" spans="1:40" s="45" customFormat="1" ht="14.25" customHeight="1">
      <c r="A79"/>
      <c r="B79"/>
      <c r="C79"/>
      <c r="D79"/>
      <c r="E79"/>
      <c r="F79"/>
      <c r="G79"/>
      <c r="H79"/>
      <c r="I79"/>
      <c r="J79"/>
      <c r="K79"/>
      <c r="L79"/>
      <c r="M79"/>
      <c r="N79"/>
      <c r="O79"/>
      <c r="P79"/>
      <c r="Q79"/>
      <c r="R79"/>
      <c r="S79"/>
      <c r="T79"/>
      <c r="U79"/>
      <c r="V79"/>
      <c r="W79"/>
      <c r="X79"/>
      <c r="Y79"/>
      <c r="Z79"/>
      <c r="AA79"/>
      <c r="AB79"/>
      <c r="AC79"/>
      <c r="AD79"/>
      <c r="AE79"/>
      <c r="AF79"/>
      <c r="AG79"/>
      <c r="AH79"/>
      <c r="AI79" s="67"/>
      <c r="AJ79" s="67"/>
      <c r="AK79" s="67"/>
    </row>
    <row r="80" spans="1:40" s="45" customFormat="1" ht="14.25" customHeight="1">
      <c r="A80"/>
      <c r="B80"/>
      <c r="C80"/>
      <c r="D80"/>
      <c r="E80"/>
      <c r="F80"/>
      <c r="G80"/>
      <c r="H80"/>
      <c r="I80"/>
      <c r="J80"/>
      <c r="K80"/>
      <c r="L80"/>
      <c r="M80"/>
      <c r="N80"/>
      <c r="O80"/>
      <c r="P80"/>
      <c r="Q80"/>
      <c r="R80"/>
      <c r="S80"/>
      <c r="T80"/>
      <c r="U80"/>
      <c r="V80"/>
      <c r="W80"/>
      <c r="X80"/>
      <c r="Y80"/>
      <c r="Z80"/>
      <c r="AA80"/>
      <c r="AB80"/>
      <c r="AC80"/>
      <c r="AD80"/>
      <c r="AE80"/>
      <c r="AF80"/>
      <c r="AG80"/>
      <c r="AH80"/>
      <c r="AI80" s="67"/>
      <c r="AJ80" s="67"/>
      <c r="AK80" s="67"/>
    </row>
    <row r="81" spans="1:37" s="45" customFormat="1" ht="14.25" customHeight="1">
      <c r="A81"/>
      <c r="B81"/>
      <c r="C81"/>
      <c r="D81"/>
      <c r="E81"/>
      <c r="F81"/>
      <c r="G81"/>
      <c r="H81"/>
      <c r="I81"/>
      <c r="J81"/>
      <c r="K81"/>
      <c r="L81"/>
      <c r="M81"/>
      <c r="N81"/>
      <c r="O81"/>
      <c r="P81"/>
      <c r="Q81"/>
      <c r="R81"/>
      <c r="S81"/>
      <c r="T81"/>
      <c r="U81"/>
      <c r="V81"/>
      <c r="W81"/>
      <c r="X81"/>
      <c r="Y81"/>
      <c r="Z81"/>
      <c r="AA81"/>
      <c r="AB81"/>
      <c r="AC81"/>
      <c r="AD81"/>
      <c r="AE81"/>
      <c r="AF81"/>
      <c r="AG81"/>
      <c r="AH81"/>
      <c r="AI81" s="67"/>
      <c r="AJ81" s="67"/>
      <c r="AK81" s="67"/>
    </row>
    <row r="82" spans="1:37" s="45" customFormat="1" ht="14.25" customHeight="1">
      <c r="A82"/>
      <c r="B82"/>
      <c r="C82"/>
      <c r="D82"/>
      <c r="E82"/>
      <c r="F82"/>
      <c r="G82"/>
      <c r="H82"/>
      <c r="I82"/>
      <c r="J82"/>
      <c r="K82"/>
      <c r="L82"/>
      <c r="M82"/>
      <c r="N82"/>
      <c r="O82"/>
      <c r="P82"/>
      <c r="Q82"/>
      <c r="R82"/>
      <c r="S82"/>
      <c r="T82"/>
      <c r="U82"/>
      <c r="V82"/>
      <c r="W82"/>
      <c r="X82"/>
      <c r="Y82"/>
      <c r="Z82"/>
      <c r="AA82"/>
      <c r="AB82"/>
      <c r="AC82"/>
      <c r="AD82"/>
      <c r="AE82"/>
      <c r="AF82"/>
      <c r="AG82"/>
      <c r="AH82"/>
      <c r="AI82" s="67"/>
      <c r="AJ82" s="67"/>
      <c r="AK82" s="67"/>
    </row>
    <row r="83" spans="1:37" s="45" customFormat="1" ht="14.25" customHeight="1">
      <c r="A83"/>
      <c r="B83"/>
      <c r="C83"/>
      <c r="D83"/>
      <c r="E83"/>
      <c r="F83"/>
      <c r="G83"/>
      <c r="H83"/>
      <c r="I83"/>
      <c r="J83"/>
      <c r="K83"/>
      <c r="L83"/>
      <c r="M83"/>
      <c r="N83"/>
      <c r="O83"/>
      <c r="P83"/>
      <c r="Q83"/>
      <c r="R83"/>
      <c r="S83"/>
      <c r="T83"/>
      <c r="U83"/>
      <c r="V83"/>
      <c r="W83"/>
      <c r="X83"/>
      <c r="Y83"/>
      <c r="Z83"/>
      <c r="AA83"/>
      <c r="AB83"/>
      <c r="AC83"/>
      <c r="AD83"/>
      <c r="AE83"/>
      <c r="AF83"/>
      <c r="AG83"/>
      <c r="AH83"/>
      <c r="AI83" s="67"/>
      <c r="AJ83" s="67"/>
      <c r="AK83" s="67"/>
    </row>
    <row r="84" spans="1:37" s="45" customFormat="1" ht="14.25" customHeight="1">
      <c r="A84"/>
      <c r="B84"/>
      <c r="C84"/>
      <c r="D84"/>
      <c r="E84"/>
      <c r="F84"/>
      <c r="G84"/>
      <c r="H84"/>
      <c r="I84"/>
      <c r="J84"/>
      <c r="K84"/>
      <c r="L84"/>
      <c r="M84"/>
      <c r="N84"/>
      <c r="O84"/>
      <c r="P84"/>
      <c r="Q84"/>
      <c r="R84"/>
      <c r="S84"/>
      <c r="T84"/>
      <c r="U84"/>
      <c r="V84"/>
      <c r="W84"/>
      <c r="X84"/>
      <c r="Y84"/>
      <c r="Z84"/>
      <c r="AA84"/>
      <c r="AB84"/>
      <c r="AC84"/>
      <c r="AD84"/>
      <c r="AE84"/>
      <c r="AF84"/>
      <c r="AG84"/>
      <c r="AH84"/>
      <c r="AI84" s="67"/>
      <c r="AJ84" s="67"/>
      <c r="AK84" s="67"/>
    </row>
    <row r="85" spans="1:37" s="45" customFormat="1" ht="14.25" customHeight="1">
      <c r="A85"/>
      <c r="B85"/>
      <c r="C85"/>
      <c r="D85"/>
      <c r="E85"/>
      <c r="F85"/>
      <c r="G85"/>
      <c r="H85"/>
      <c r="I85"/>
      <c r="J85"/>
      <c r="K85"/>
      <c r="L85"/>
      <c r="M85"/>
      <c r="N85"/>
      <c r="O85"/>
      <c r="P85"/>
      <c r="Q85"/>
      <c r="R85"/>
      <c r="S85"/>
      <c r="T85"/>
      <c r="U85"/>
      <c r="V85"/>
      <c r="W85"/>
      <c r="X85"/>
      <c r="Y85"/>
      <c r="Z85"/>
      <c r="AA85"/>
      <c r="AB85"/>
      <c r="AC85"/>
      <c r="AD85"/>
      <c r="AE85"/>
      <c r="AF85"/>
      <c r="AG85"/>
      <c r="AH85"/>
      <c r="AI85" s="67"/>
      <c r="AJ85" s="67"/>
      <c r="AK85" s="67"/>
    </row>
    <row r="86" spans="1:37" ht="7.5" customHeight="1"/>
    <row r="88" spans="1:37" ht="18" customHeight="1"/>
    <row r="89" spans="1:37" ht="24" customHeight="1"/>
  </sheetData>
  <sheetProtection algorithmName="SHA-512" hashValue="Z1O27EjnLL/HaztPb14vkUbQORM+rcV8M/Ki7vG0Oz8kL6v3TXhKwbj1GicTwg6u09UrWMy0naJ6DS1R1mNgHQ==" saltValue="5M2j9skUU/d3p5KysUF8gQ==" spinCount="100000" sheet="1" objects="1" scenarios="1" formatCells="0" formatColumns="0" formatRows="0" insertColumns="0" insertRows="0" deleteColumns="0" deleteRows="0" selectLockedCells="1"/>
  <mergeCells count="106">
    <mergeCell ref="U1:AE3"/>
    <mergeCell ref="A6:T9"/>
    <mergeCell ref="U6:AN6"/>
    <mergeCell ref="U7:AN7"/>
    <mergeCell ref="U8:AN8"/>
    <mergeCell ref="U9:AN9"/>
    <mergeCell ref="U4:X4"/>
    <mergeCell ref="Y4:AN4"/>
    <mergeCell ref="U5:Y5"/>
    <mergeCell ref="Z5:AN5"/>
    <mergeCell ref="A4:F4"/>
    <mergeCell ref="G4:T4"/>
    <mergeCell ref="A5:H5"/>
    <mergeCell ref="I5:T5"/>
    <mergeCell ref="B15:AN15"/>
    <mergeCell ref="A16:J16"/>
    <mergeCell ref="K16:P16"/>
    <mergeCell ref="V16:AH16"/>
    <mergeCell ref="A20:G20"/>
    <mergeCell ref="B11:AN11"/>
    <mergeCell ref="A12:K12"/>
    <mergeCell ref="B13:AN13"/>
    <mergeCell ref="A14:J14"/>
    <mergeCell ref="K14:P14"/>
    <mergeCell ref="V14:AH14"/>
    <mergeCell ref="AI14:AN14"/>
    <mergeCell ref="Q14:U14"/>
    <mergeCell ref="Q16:U16"/>
    <mergeCell ref="A22:J22"/>
    <mergeCell ref="K22:P22"/>
    <mergeCell ref="R22:U22"/>
    <mergeCell ref="V22:AH22"/>
    <mergeCell ref="A25:K25"/>
    <mergeCell ref="A27:J27"/>
    <mergeCell ref="K27:P27"/>
    <mergeCell ref="V27:AH27"/>
    <mergeCell ref="Q27:U27"/>
    <mergeCell ref="A29:J29"/>
    <mergeCell ref="K29:P29"/>
    <mergeCell ref="G32:L32"/>
    <mergeCell ref="M32:AB32"/>
    <mergeCell ref="AC32:AN32"/>
    <mergeCell ref="A33:F33"/>
    <mergeCell ref="M33:AB33"/>
    <mergeCell ref="AC33:AN33"/>
    <mergeCell ref="A34:F34"/>
    <mergeCell ref="M34:AB34"/>
    <mergeCell ref="AC34:AN35"/>
    <mergeCell ref="A35:F35"/>
    <mergeCell ref="G35:L35"/>
    <mergeCell ref="G33:L33"/>
    <mergeCell ref="G34:L34"/>
    <mergeCell ref="AC39:AN40"/>
    <mergeCell ref="G40:L40"/>
    <mergeCell ref="M40:AB40"/>
    <mergeCell ref="AC61:AN61"/>
    <mergeCell ref="AC62:AN62"/>
    <mergeCell ref="AC53:AN53"/>
    <mergeCell ref="AC54:AN54"/>
    <mergeCell ref="AC58:AN58"/>
    <mergeCell ref="AC57:AN57"/>
    <mergeCell ref="G49:L49"/>
    <mergeCell ref="AC49:AN49"/>
    <mergeCell ref="M48:AB49"/>
    <mergeCell ref="G50:L50"/>
    <mergeCell ref="AC50:AN50"/>
    <mergeCell ref="G43:L43"/>
    <mergeCell ref="M43:AB43"/>
    <mergeCell ref="AC43:AN43"/>
    <mergeCell ref="M44:AB44"/>
    <mergeCell ref="AC44:AN44"/>
    <mergeCell ref="G48:L48"/>
    <mergeCell ref="AC48:AN48"/>
    <mergeCell ref="N67:S67"/>
    <mergeCell ref="B74:F74"/>
    <mergeCell ref="G44:L45"/>
    <mergeCell ref="F67:L67"/>
    <mergeCell ref="B70:F73"/>
    <mergeCell ref="I74:W74"/>
    <mergeCell ref="I70:AB73"/>
    <mergeCell ref="U67:AD67"/>
    <mergeCell ref="A45:F45"/>
    <mergeCell ref="A46:F46"/>
    <mergeCell ref="A47:F47"/>
    <mergeCell ref="A61:F62"/>
    <mergeCell ref="G61:L62"/>
    <mergeCell ref="M61:AB61"/>
    <mergeCell ref="M62:AB62"/>
    <mergeCell ref="G54:L54"/>
    <mergeCell ref="A57:F57"/>
    <mergeCell ref="A44:F44"/>
    <mergeCell ref="A48:F48"/>
    <mergeCell ref="A39:F39"/>
    <mergeCell ref="M57:AB57"/>
    <mergeCell ref="A59:F59"/>
    <mergeCell ref="A53:F53"/>
    <mergeCell ref="M53:AB53"/>
    <mergeCell ref="M54:AB54"/>
    <mergeCell ref="G57:L57"/>
    <mergeCell ref="G58:L58"/>
    <mergeCell ref="G53:L53"/>
    <mergeCell ref="M50:AB50"/>
    <mergeCell ref="A50:F50"/>
    <mergeCell ref="G39:L39"/>
    <mergeCell ref="M39:AB39"/>
    <mergeCell ref="A43:F43"/>
  </mergeCells>
  <printOptions horizontalCentered="1"/>
  <pageMargins left="0.61" right="0.52" top="0.9055118110236221" bottom="0.6692913385826772" header="0.31496062992125984" footer="0.31496062992125984"/>
  <pageSetup paperSize="9" scale="67" orientation="portrait" r:id="rId1"/>
  <headerFooter>
    <oddHeader>&amp;R&amp;G</oddHeader>
    <oddFooter>&amp;LMHG-PU-F-0018&amp;CPPAP Template ; Rev.: 01/2019&amp;RJ.-U. Liedtke / PU-SD-GA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N96"/>
  <sheetViews>
    <sheetView showGridLines="0" zoomScaleNormal="100" zoomScalePageLayoutView="90" workbookViewId="0">
      <selection activeCell="K27" sqref="K27:P27"/>
    </sheetView>
  </sheetViews>
  <sheetFormatPr baseColWidth="10" defaultColWidth="1.42578125" defaultRowHeight="12.75"/>
  <cols>
    <col min="1" max="2" width="0.7109375" customWidth="1"/>
    <col min="3" max="3" width="3.42578125" customWidth="1"/>
    <col min="4" max="4" width="0.7109375" customWidth="1"/>
    <col min="5" max="5" width="4.42578125" customWidth="1"/>
    <col min="6" max="6" width="7.85546875" customWidth="1"/>
    <col min="7" max="7" width="6.7109375" customWidth="1"/>
    <col min="8" max="8" width="4.42578125" customWidth="1"/>
    <col min="9" max="9" width="3.42578125" customWidth="1"/>
    <col min="10" max="10" width="2.5703125" customWidth="1"/>
    <col min="11" max="11" width="3.42578125" customWidth="1"/>
    <col min="12" max="12" width="4.7109375" customWidth="1"/>
    <col min="13" max="14" width="3.42578125" customWidth="1"/>
    <col min="15" max="15" width="2.7109375" customWidth="1"/>
    <col min="16" max="16" width="2.28515625" customWidth="1"/>
    <col min="17" max="17" width="1.85546875" customWidth="1"/>
    <col min="18" max="18" width="2" customWidth="1"/>
    <col min="19" max="19" width="2.5703125" customWidth="1"/>
    <col min="20" max="20" width="3.28515625" customWidth="1"/>
    <col min="21" max="21" width="5.85546875" customWidth="1"/>
    <col min="22" max="24" width="3.42578125" customWidth="1"/>
    <col min="25" max="25" width="4.140625" customWidth="1"/>
    <col min="26" max="26" width="5" customWidth="1"/>
    <col min="27" max="27" width="1.85546875" customWidth="1"/>
    <col min="28" max="30" width="3.42578125" customWidth="1"/>
    <col min="31" max="31" width="3" customWidth="1"/>
    <col min="32" max="32" width="6.42578125" customWidth="1"/>
    <col min="33" max="33" width="4.7109375" customWidth="1"/>
    <col min="34" max="34" width="3.42578125" customWidth="1"/>
    <col min="35" max="35" width="5" customWidth="1"/>
    <col min="36" max="37" width="2.85546875" customWidth="1"/>
    <col min="38" max="38" width="4.7109375" customWidth="1"/>
    <col min="40" max="40" width="2" customWidth="1"/>
  </cols>
  <sheetData>
    <row r="1" spans="1:40" ht="12.75" customHeight="1">
      <c r="C1" s="46"/>
      <c r="D1" s="46"/>
      <c r="E1" s="46"/>
      <c r="F1" s="46"/>
      <c r="G1" s="46"/>
      <c r="H1" s="46"/>
      <c r="I1" s="46"/>
      <c r="J1" s="46"/>
      <c r="K1" s="46"/>
      <c r="L1" s="46"/>
      <c r="M1" s="46"/>
      <c r="N1" s="46"/>
      <c r="O1" s="46"/>
      <c r="P1" s="46"/>
      <c r="Q1" s="46"/>
      <c r="R1" s="46"/>
      <c r="S1" s="112"/>
      <c r="T1" s="112"/>
      <c r="U1" s="559" t="str">
        <f>VLOOKUP("ppapselfprocess",Translations!$A:$T,MATCH(PSW!AO7,Translations!A1:P1,0),0)</f>
        <v>Production Part Approval
Self Assessment Process</v>
      </c>
      <c r="V1" s="559"/>
      <c r="W1" s="559"/>
      <c r="X1" s="559"/>
      <c r="Y1" s="559"/>
      <c r="Z1" s="559"/>
      <c r="AA1" s="559"/>
      <c r="AB1" s="559"/>
      <c r="AC1" s="559"/>
      <c r="AD1" s="559"/>
      <c r="AE1" s="559"/>
      <c r="AF1" s="559"/>
      <c r="AG1" s="112"/>
      <c r="AH1" s="112"/>
    </row>
    <row r="2" spans="1:40" ht="12.75" customHeight="1">
      <c r="C2" s="46"/>
      <c r="D2" s="46"/>
      <c r="E2" s="46"/>
      <c r="F2" s="46"/>
      <c r="G2" s="46"/>
      <c r="H2" s="46"/>
      <c r="I2" s="46"/>
      <c r="J2" s="46"/>
      <c r="K2" s="46"/>
      <c r="L2" s="46"/>
      <c r="M2" s="46"/>
      <c r="N2" s="46"/>
      <c r="O2" s="46"/>
      <c r="P2" s="46"/>
      <c r="Q2" s="46"/>
      <c r="R2" s="46"/>
      <c r="S2" s="112"/>
      <c r="T2" s="112"/>
      <c r="U2" s="559"/>
      <c r="V2" s="559"/>
      <c r="W2" s="559"/>
      <c r="X2" s="559"/>
      <c r="Y2" s="559"/>
      <c r="Z2" s="559"/>
      <c r="AA2" s="559"/>
      <c r="AB2" s="559"/>
      <c r="AC2" s="559"/>
      <c r="AD2" s="559"/>
      <c r="AE2" s="559"/>
      <c r="AF2" s="559"/>
      <c r="AG2" s="112"/>
      <c r="AH2" s="112"/>
    </row>
    <row r="3" spans="1:40" ht="13.5" customHeight="1" thickBot="1">
      <c r="C3" s="47"/>
      <c r="D3" s="47"/>
      <c r="E3" s="47"/>
      <c r="F3" s="47"/>
      <c r="G3" s="47"/>
      <c r="H3" s="47"/>
      <c r="I3" s="47"/>
      <c r="J3" s="47"/>
      <c r="K3" s="47"/>
      <c r="L3" s="47"/>
      <c r="M3" s="47"/>
      <c r="N3" s="47"/>
      <c r="O3" s="47"/>
      <c r="P3" s="47"/>
      <c r="Q3" s="47"/>
      <c r="R3" s="47"/>
      <c r="S3" s="113"/>
      <c r="T3" s="113"/>
      <c r="U3" s="559"/>
      <c r="V3" s="559"/>
      <c r="W3" s="559"/>
      <c r="X3" s="559"/>
      <c r="Y3" s="559"/>
      <c r="Z3" s="559"/>
      <c r="AA3" s="559"/>
      <c r="AB3" s="559"/>
      <c r="AC3" s="559"/>
      <c r="AD3" s="559"/>
      <c r="AE3" s="559"/>
      <c r="AF3" s="559"/>
      <c r="AG3" s="112"/>
      <c r="AH3" s="112"/>
    </row>
    <row r="4" spans="1:40" ht="13.5" customHeight="1">
      <c r="A4" s="495" t="str">
        <f>'MAT Test'!A4</f>
        <v>ORGANIZATION:</v>
      </c>
      <c r="B4" s="496"/>
      <c r="C4" s="496"/>
      <c r="D4" s="496"/>
      <c r="E4" s="496"/>
      <c r="F4" s="496"/>
      <c r="G4" s="569" t="str">
        <f>Content!H4</f>
        <v>?</v>
      </c>
      <c r="H4" s="569"/>
      <c r="I4" s="569"/>
      <c r="J4" s="569"/>
      <c r="K4" s="569"/>
      <c r="L4" s="569"/>
      <c r="M4" s="569"/>
      <c r="N4" s="569"/>
      <c r="O4" s="569"/>
      <c r="P4" s="569"/>
      <c r="Q4" s="569"/>
      <c r="R4" s="569"/>
      <c r="S4" s="569"/>
      <c r="T4" s="570"/>
      <c r="U4" s="495" t="str">
        <f>'MAT Test'!R4</f>
        <v>PART NUMBER:</v>
      </c>
      <c r="V4" s="496"/>
      <c r="W4" s="496"/>
      <c r="X4" s="496"/>
      <c r="Y4" s="569" t="str">
        <f>'DIM Test'!X4</f>
        <v>?</v>
      </c>
      <c r="Z4" s="569"/>
      <c r="AA4" s="569"/>
      <c r="AB4" s="569"/>
      <c r="AC4" s="569"/>
      <c r="AD4" s="569"/>
      <c r="AE4" s="569"/>
      <c r="AF4" s="569"/>
      <c r="AG4" s="569"/>
      <c r="AH4" s="569"/>
      <c r="AI4" s="569"/>
      <c r="AJ4" s="569"/>
      <c r="AK4" s="569"/>
      <c r="AL4" s="569"/>
      <c r="AM4" s="569"/>
      <c r="AN4" s="570"/>
    </row>
    <row r="5" spans="1:40" ht="13.5" customHeight="1">
      <c r="A5" s="991" t="str">
        <f>'MAT Test'!A5</f>
        <v>SUPPLIER / VENDOR CODE:</v>
      </c>
      <c r="B5" s="992"/>
      <c r="C5" s="992"/>
      <c r="D5" s="992"/>
      <c r="E5" s="992"/>
      <c r="F5" s="992"/>
      <c r="G5" s="992"/>
      <c r="H5" s="992"/>
      <c r="I5" s="993" t="str">
        <f>'DIM Test'!I5</f>
        <v>?</v>
      </c>
      <c r="J5" s="993"/>
      <c r="K5" s="993"/>
      <c r="L5" s="993"/>
      <c r="M5" s="993"/>
      <c r="N5" s="993"/>
      <c r="O5" s="993"/>
      <c r="P5" s="993"/>
      <c r="Q5" s="993"/>
      <c r="R5" s="993"/>
      <c r="S5" s="993"/>
      <c r="T5" s="994"/>
      <c r="U5" s="534" t="str">
        <f>'MAT Test'!R5</f>
        <v>PART NAME:</v>
      </c>
      <c r="V5" s="535"/>
      <c r="W5" s="535"/>
      <c r="X5" s="535"/>
      <c r="Y5" s="535"/>
      <c r="Z5" s="536" t="str">
        <f>'DIM Test'!Y5</f>
        <v>?</v>
      </c>
      <c r="AA5" s="536"/>
      <c r="AB5" s="536"/>
      <c r="AC5" s="536"/>
      <c r="AD5" s="536"/>
      <c r="AE5" s="536"/>
      <c r="AF5" s="536"/>
      <c r="AG5" s="536"/>
      <c r="AH5" s="536"/>
      <c r="AI5" s="536"/>
      <c r="AJ5" s="536"/>
      <c r="AK5" s="536"/>
      <c r="AL5" s="536"/>
      <c r="AM5" s="536"/>
      <c r="AN5" s="537"/>
    </row>
    <row r="6" spans="1:40" ht="13.5" customHeight="1">
      <c r="A6" s="1019"/>
      <c r="B6" s="1020"/>
      <c r="C6" s="1020"/>
      <c r="D6" s="1020"/>
      <c r="E6" s="1020"/>
      <c r="F6" s="1020"/>
      <c r="G6" s="1020"/>
      <c r="H6" s="1020"/>
      <c r="I6" s="1020"/>
      <c r="J6" s="1020"/>
      <c r="K6" s="1020"/>
      <c r="L6" s="1020"/>
      <c r="M6" s="1020"/>
      <c r="N6" s="1020"/>
      <c r="O6" s="1020"/>
      <c r="P6" s="1020"/>
      <c r="Q6" s="1020"/>
      <c r="R6" s="1020"/>
      <c r="S6" s="1020"/>
      <c r="T6" s="1021"/>
      <c r="U6" s="534" t="str">
        <f>'MAT Test'!R6</f>
        <v>DESIGN RECORD CHANGE LEVEL:</v>
      </c>
      <c r="V6" s="535"/>
      <c r="W6" s="535"/>
      <c r="X6" s="535"/>
      <c r="Y6" s="535"/>
      <c r="Z6" s="535"/>
      <c r="AA6" s="535"/>
      <c r="AB6" s="535"/>
      <c r="AC6" s="535"/>
      <c r="AD6" s="535"/>
      <c r="AE6" s="535"/>
      <c r="AF6" s="535"/>
      <c r="AG6" s="535"/>
      <c r="AH6" s="535"/>
      <c r="AI6" s="535"/>
      <c r="AJ6" s="535"/>
      <c r="AK6" s="535"/>
      <c r="AL6" s="535"/>
      <c r="AM6" s="535"/>
      <c r="AN6" s="564"/>
    </row>
    <row r="7" spans="1:40" ht="13.5" customHeight="1">
      <c r="A7" s="1019"/>
      <c r="B7" s="1020"/>
      <c r="C7" s="1020"/>
      <c r="D7" s="1020"/>
      <c r="E7" s="1020"/>
      <c r="F7" s="1020"/>
      <c r="G7" s="1020"/>
      <c r="H7" s="1020"/>
      <c r="I7" s="1020"/>
      <c r="J7" s="1020"/>
      <c r="K7" s="1020"/>
      <c r="L7" s="1020"/>
      <c r="M7" s="1020"/>
      <c r="N7" s="1020"/>
      <c r="O7" s="1020"/>
      <c r="P7" s="1020"/>
      <c r="Q7" s="1020"/>
      <c r="R7" s="1020"/>
      <c r="S7" s="1020"/>
      <c r="T7" s="1021"/>
      <c r="U7" s="565" t="str">
        <f>'DIM Test'!S7</f>
        <v>?</v>
      </c>
      <c r="V7" s="599"/>
      <c r="W7" s="599"/>
      <c r="X7" s="599"/>
      <c r="Y7" s="599"/>
      <c r="Z7" s="599"/>
      <c r="AA7" s="599"/>
      <c r="AB7" s="599"/>
      <c r="AC7" s="599"/>
      <c r="AD7" s="599"/>
      <c r="AE7" s="599"/>
      <c r="AF7" s="599"/>
      <c r="AG7" s="599"/>
      <c r="AH7" s="599"/>
      <c r="AI7" s="599"/>
      <c r="AJ7" s="599"/>
      <c r="AK7" s="599"/>
      <c r="AL7" s="599"/>
      <c r="AM7" s="599"/>
      <c r="AN7" s="600"/>
    </row>
    <row r="8" spans="1:40" ht="13.5" customHeight="1">
      <c r="A8" s="1019"/>
      <c r="B8" s="1020"/>
      <c r="C8" s="1020"/>
      <c r="D8" s="1020"/>
      <c r="E8" s="1020"/>
      <c r="F8" s="1020"/>
      <c r="G8" s="1020"/>
      <c r="H8" s="1020"/>
      <c r="I8" s="1020"/>
      <c r="J8" s="1020"/>
      <c r="K8" s="1020"/>
      <c r="L8" s="1020"/>
      <c r="M8" s="1020"/>
      <c r="N8" s="1020"/>
      <c r="O8" s="1020"/>
      <c r="P8" s="1020"/>
      <c r="Q8" s="1020"/>
      <c r="R8" s="1020"/>
      <c r="S8" s="1020"/>
      <c r="T8" s="1021"/>
      <c r="U8" s="986" t="str">
        <f>'MAT Test'!R8</f>
        <v>ENGINEERING CHANGE DOCUMENTS:</v>
      </c>
      <c r="V8" s="987"/>
      <c r="W8" s="987"/>
      <c r="X8" s="987"/>
      <c r="Y8" s="987"/>
      <c r="Z8" s="987"/>
      <c r="AA8" s="987"/>
      <c r="AB8" s="987"/>
      <c r="AC8" s="987"/>
      <c r="AD8" s="987"/>
      <c r="AE8" s="987"/>
      <c r="AF8" s="987"/>
      <c r="AG8" s="987"/>
      <c r="AH8" s="987"/>
      <c r="AI8" s="987"/>
      <c r="AJ8" s="987"/>
      <c r="AK8" s="987"/>
      <c r="AL8" s="987"/>
      <c r="AM8" s="987"/>
      <c r="AN8" s="988"/>
    </row>
    <row r="9" spans="1:40" ht="13.5" customHeight="1">
      <c r="A9" s="1019"/>
      <c r="B9" s="1020"/>
      <c r="C9" s="1020"/>
      <c r="D9" s="1020"/>
      <c r="E9" s="1020"/>
      <c r="F9" s="1020"/>
      <c r="G9" s="1020"/>
      <c r="H9" s="1020"/>
      <c r="I9" s="1020"/>
      <c r="J9" s="1020"/>
      <c r="K9" s="1020"/>
      <c r="L9" s="1020"/>
      <c r="M9" s="1020"/>
      <c r="N9" s="1020"/>
      <c r="O9" s="1020"/>
      <c r="P9" s="1020"/>
      <c r="Q9" s="1020"/>
      <c r="R9" s="1020"/>
      <c r="S9" s="1020"/>
      <c r="T9" s="1021"/>
      <c r="U9" s="565" t="str">
        <f>'DIM Test'!S9</f>
        <v>?</v>
      </c>
      <c r="V9" s="599"/>
      <c r="W9" s="599"/>
      <c r="X9" s="599"/>
      <c r="Y9" s="599"/>
      <c r="Z9" s="599"/>
      <c r="AA9" s="599"/>
      <c r="AB9" s="599"/>
      <c r="AC9" s="599"/>
      <c r="AD9" s="599"/>
      <c r="AE9" s="599"/>
      <c r="AF9" s="599"/>
      <c r="AG9" s="599"/>
      <c r="AH9" s="599"/>
      <c r="AI9" s="599"/>
      <c r="AJ9" s="599"/>
      <c r="AK9" s="599"/>
      <c r="AL9" s="599"/>
      <c r="AM9" s="599"/>
      <c r="AN9" s="600"/>
    </row>
    <row r="10" spans="1:40" s="45" customFormat="1" ht="3.75" customHeight="1" thickBot="1">
      <c r="A10" s="4"/>
      <c r="B10" s="4"/>
      <c r="C10" s="4"/>
      <c r="D10" s="4"/>
      <c r="E10" s="4"/>
      <c r="F10" s="4"/>
      <c r="G10" s="4"/>
      <c r="H10" s="4"/>
      <c r="I10" s="4"/>
      <c r="J10" s="4"/>
      <c r="K10" s="4"/>
      <c r="L10" s="4"/>
      <c r="M10" s="4"/>
      <c r="N10" s="4"/>
      <c r="O10" s="4"/>
      <c r="P10" s="4"/>
      <c r="Q10" s="4"/>
      <c r="R10" s="4"/>
      <c r="S10" s="4"/>
      <c r="T10" s="400"/>
      <c r="U10" s="398"/>
      <c r="V10" s="4"/>
      <c r="W10" s="4"/>
      <c r="X10" s="4"/>
      <c r="Y10" s="4"/>
      <c r="Z10" s="4"/>
      <c r="AA10" s="4"/>
      <c r="AB10" s="4"/>
      <c r="AC10" s="4"/>
      <c r="AD10" s="4"/>
      <c r="AE10" s="4"/>
      <c r="AF10" s="4"/>
      <c r="AG10" s="4"/>
      <c r="AH10" s="4"/>
      <c r="AI10" s="4"/>
      <c r="AJ10" s="195"/>
      <c r="AK10" s="195"/>
      <c r="AL10" s="399"/>
      <c r="AM10" s="399"/>
      <c r="AN10" s="397"/>
    </row>
    <row r="11" spans="1:40" s="45" customFormat="1" ht="19.5" customHeight="1">
      <c r="A11" s="121"/>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6"/>
      <c r="AI11" s="976"/>
      <c r="AJ11" s="976"/>
      <c r="AK11" s="978"/>
      <c r="AL11" s="978"/>
      <c r="AM11" s="978"/>
      <c r="AN11" s="979"/>
    </row>
    <row r="12" spans="1:40" s="45" customFormat="1" ht="15" customHeight="1">
      <c r="A12" s="1002" t="str">
        <f>VLOOKUP("assessment production process",Translations!$A:$P,MATCH(PSW!AO7,Translations!A1:P1,0),0)</f>
        <v>Assessment: Serial Production process</v>
      </c>
      <c r="B12" s="1003"/>
      <c r="C12" s="1003"/>
      <c r="D12" s="1003"/>
      <c r="E12" s="1003"/>
      <c r="F12" s="1003"/>
      <c r="G12" s="1003"/>
      <c r="H12" s="1003"/>
      <c r="I12" s="1003"/>
      <c r="J12" s="1003"/>
      <c r="K12" s="1003"/>
      <c r="L12" s="1003"/>
      <c r="M12" s="1003"/>
      <c r="N12" s="1003"/>
      <c r="O12" s="1003"/>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9"/>
    </row>
    <row r="13" spans="1:40" s="45" customFormat="1" ht="3.75" customHeight="1" thickBot="1">
      <c r="A13" s="122"/>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7"/>
    </row>
    <row r="14" spans="1:40" s="45" customFormat="1" ht="12.75" customHeight="1" thickBot="1">
      <c r="A14" s="947" t="str">
        <f>VLOOKUP("part number",Translations!$A:$P,MATCH(PSW!AO7,Translations!A1:P1,0),0)</f>
        <v>Part no.</v>
      </c>
      <c r="B14" s="948"/>
      <c r="C14" s="948"/>
      <c r="D14" s="948"/>
      <c r="E14" s="948"/>
      <c r="F14" s="948"/>
      <c r="G14" s="948"/>
      <c r="H14" s="948"/>
      <c r="I14" s="948"/>
      <c r="J14" s="949"/>
      <c r="K14" s="950"/>
      <c r="L14" s="951"/>
      <c r="M14" s="951"/>
      <c r="N14" s="951"/>
      <c r="O14" s="951"/>
      <c r="P14" s="952"/>
      <c r="Q14" s="947" t="str">
        <f>VLOOKUP("part description",Translations!$A:$P,MATCH(PSW!AO7,Translations!A1:P1,0),0)</f>
        <v>Part description</v>
      </c>
      <c r="R14" s="948"/>
      <c r="S14" s="948"/>
      <c r="T14" s="948"/>
      <c r="U14" s="949"/>
      <c r="V14" s="982"/>
      <c r="W14" s="983"/>
      <c r="X14" s="983"/>
      <c r="Y14" s="983"/>
      <c r="Z14" s="983"/>
      <c r="AA14" s="983"/>
      <c r="AB14" s="983"/>
      <c r="AC14" s="983"/>
      <c r="AD14" s="983"/>
      <c r="AE14" s="983"/>
      <c r="AF14" s="983"/>
      <c r="AG14" s="983"/>
      <c r="AH14" s="984"/>
      <c r="AI14" s="985"/>
      <c r="AJ14" s="976"/>
      <c r="AK14" s="976"/>
      <c r="AL14" s="976"/>
      <c r="AM14" s="976"/>
      <c r="AN14" s="977"/>
    </row>
    <row r="15" spans="1:40" ht="14.25" customHeight="1" thickBot="1">
      <c r="A15" s="122"/>
      <c r="B15" s="976"/>
      <c r="C15" s="976"/>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c r="AL15" s="976"/>
      <c r="AM15" s="976"/>
      <c r="AN15" s="977"/>
    </row>
    <row r="16" spans="1:40" ht="13.5" customHeight="1" thickBot="1">
      <c r="A16" s="947" t="str">
        <f>VLOOKUP("supplier/production plant",Translations!$A:$P,MATCH(PSW!AO7,Translations!A1:P1,0),0)</f>
        <v>Supplier/Production plant</v>
      </c>
      <c r="B16" s="948"/>
      <c r="C16" s="948"/>
      <c r="D16" s="948"/>
      <c r="E16" s="948"/>
      <c r="F16" s="948"/>
      <c r="G16" s="948"/>
      <c r="H16" s="948"/>
      <c r="I16" s="948"/>
      <c r="J16" s="949"/>
      <c r="K16" s="950"/>
      <c r="L16" s="951"/>
      <c r="M16" s="951"/>
      <c r="N16" s="951"/>
      <c r="O16" s="951"/>
      <c r="P16" s="952"/>
      <c r="Q16" s="123"/>
      <c r="R16" s="948" t="str">
        <f>VLOOKUP("colour",Translations!$A:$P,MATCH(PSW!AO7,Translations!A1:P1,0),0)</f>
        <v>Colour</v>
      </c>
      <c r="S16" s="948"/>
      <c r="T16" s="948"/>
      <c r="U16" s="949"/>
      <c r="V16" s="971"/>
      <c r="W16" s="972"/>
      <c r="X16" s="972"/>
      <c r="Y16" s="972"/>
      <c r="Z16" s="972"/>
      <c r="AA16" s="972"/>
      <c r="AB16" s="972"/>
      <c r="AC16" s="972"/>
      <c r="AD16" s="972"/>
      <c r="AE16" s="972"/>
      <c r="AF16" s="972"/>
      <c r="AG16" s="972"/>
      <c r="AH16" s="973"/>
      <c r="AI16" s="123"/>
      <c r="AJ16" s="123"/>
      <c r="AK16" s="123"/>
      <c r="AL16" s="123"/>
      <c r="AM16" s="123"/>
      <c r="AN16" s="124"/>
    </row>
    <row r="17" spans="1:40" s="45" customFormat="1" ht="12.75" customHeight="1">
      <c r="A17" s="122"/>
      <c r="B17" s="125"/>
      <c r="C17" s="125"/>
      <c r="D17" s="125"/>
      <c r="E17" s="125"/>
      <c r="F17" s="125"/>
      <c r="G17" s="125"/>
      <c r="H17" s="125"/>
      <c r="I17" s="125"/>
      <c r="J17" s="125"/>
      <c r="K17" s="125"/>
      <c r="L17" s="125"/>
      <c r="M17" s="125"/>
      <c r="AI17" s="123"/>
      <c r="AJ17" s="123"/>
      <c r="AK17" s="123"/>
      <c r="AL17" s="123"/>
      <c r="AM17" s="123"/>
      <c r="AN17" s="124"/>
    </row>
    <row r="18" spans="1:40" ht="8.25" customHeight="1" thickBot="1">
      <c r="A18" s="126"/>
      <c r="B18" s="127"/>
      <c r="C18" s="127"/>
      <c r="D18" s="127"/>
      <c r="E18" s="127"/>
      <c r="F18" s="127"/>
      <c r="G18" s="127"/>
      <c r="H18" s="127"/>
      <c r="I18" s="127"/>
      <c r="J18" s="127"/>
      <c r="K18" s="127"/>
      <c r="L18" s="127"/>
      <c r="M18" s="127"/>
      <c r="N18" s="127"/>
      <c r="O18" s="127"/>
      <c r="P18" s="127"/>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9"/>
    </row>
    <row r="19" spans="1:40" ht="15.75" customHeight="1">
      <c r="A19" s="121"/>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1"/>
    </row>
    <row r="20" spans="1:40" s="45" customFormat="1" ht="15.75" customHeight="1">
      <c r="A20" s="902" t="str">
        <f>VLOOKUP("design level",Translations!$A:$P,MATCH(PSW!AO7,Translations!A1:P1,0),0)</f>
        <v>Design level</v>
      </c>
      <c r="B20" s="903"/>
      <c r="C20" s="903"/>
      <c r="D20" s="903"/>
      <c r="E20" s="903"/>
      <c r="F20" s="903"/>
      <c r="G20" s="90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4"/>
    </row>
    <row r="21" spans="1:40" ht="15.75" customHeight="1" thickBot="1">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4"/>
    </row>
    <row r="22" spans="1:40" ht="12.75" customHeight="1" thickBot="1">
      <c r="A22" s="947" t="str">
        <f>VLOOKUP("presented",Translations!$A:$P,MATCH(PSW!AO7,Translations!A1:P1,0),0)</f>
        <v>Presented</v>
      </c>
      <c r="B22" s="948"/>
      <c r="C22" s="948"/>
      <c r="D22" s="948"/>
      <c r="E22" s="948"/>
      <c r="F22" s="948"/>
      <c r="G22" s="948"/>
      <c r="H22" s="948"/>
      <c r="I22" s="948"/>
      <c r="J22" s="949"/>
      <c r="K22" s="950"/>
      <c r="L22" s="951"/>
      <c r="M22" s="951"/>
      <c r="N22" s="951"/>
      <c r="O22" s="951"/>
      <c r="P22" s="952"/>
      <c r="R22" s="948" t="str">
        <f>VLOOKUP("current",Translations!$A:$P,MATCH(PSW!AO7,Translations!A1:P1,0),0)</f>
        <v>Current</v>
      </c>
      <c r="S22" s="948"/>
      <c r="T22" s="948"/>
      <c r="U22" s="949"/>
      <c r="V22" s="971"/>
      <c r="W22" s="972"/>
      <c r="X22" s="972"/>
      <c r="Y22" s="972"/>
      <c r="Z22" s="972"/>
      <c r="AA22" s="972"/>
      <c r="AB22" s="972"/>
      <c r="AC22" s="972"/>
      <c r="AD22" s="972"/>
      <c r="AE22" s="972"/>
      <c r="AF22" s="972"/>
      <c r="AG22" s="972"/>
      <c r="AH22" s="973"/>
      <c r="AI22" s="123"/>
      <c r="AJ22" s="123"/>
      <c r="AK22" s="123"/>
      <c r="AL22" s="123"/>
      <c r="AM22" s="123"/>
      <c r="AN22" s="124"/>
    </row>
    <row r="23" spans="1:40" s="45" customFormat="1" ht="15.75" customHeight="1" thickBot="1">
      <c r="A23" s="126"/>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9"/>
    </row>
    <row r="24" spans="1:40" ht="15.75" customHeight="1">
      <c r="A24" s="121"/>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1"/>
    </row>
    <row r="25" spans="1:40" ht="15" customHeight="1">
      <c r="A25" s="974" t="str">
        <f>VLOOKUP("for electronic",Translations!$A:$P,MATCH(PSW!AO7,Translations!A1:P1,0),0)</f>
        <v>For electronic components</v>
      </c>
      <c r="B25" s="975"/>
      <c r="C25" s="975"/>
      <c r="D25" s="975"/>
      <c r="E25" s="975"/>
      <c r="F25" s="975"/>
      <c r="G25" s="975"/>
      <c r="H25" s="975"/>
      <c r="I25" s="975"/>
      <c r="J25" s="975"/>
      <c r="K25" s="975"/>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4"/>
    </row>
    <row r="26" spans="1:40" s="45" customFormat="1" ht="15.75" customHeight="1" thickBot="1">
      <c r="A26" s="122"/>
      <c r="B26" s="67"/>
      <c r="C26" s="67"/>
      <c r="D26" s="67"/>
      <c r="E26" s="67"/>
      <c r="F26" s="67"/>
      <c r="G26" s="67"/>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4"/>
    </row>
    <row r="27" spans="1:40" s="45" customFormat="1" ht="12.75" customHeight="1" thickBot="1">
      <c r="A27" s="947" t="str">
        <f>VLOOKUP("hardware level",Translations!$A:$P,MATCH(PSW!AO7,Translations!A1:P1,0),0)</f>
        <v>Hardware level</v>
      </c>
      <c r="B27" s="948"/>
      <c r="C27" s="948"/>
      <c r="D27" s="948"/>
      <c r="E27" s="948"/>
      <c r="F27" s="948"/>
      <c r="G27" s="948"/>
      <c r="H27" s="948"/>
      <c r="I27" s="948"/>
      <c r="J27" s="949"/>
      <c r="K27" s="950"/>
      <c r="L27" s="951"/>
      <c r="M27" s="951"/>
      <c r="N27" s="951"/>
      <c r="O27" s="951"/>
      <c r="P27" s="952"/>
      <c r="Q27" s="947" t="str">
        <f>VLOOKUP("software level",Translations!$A:$P,MATCH(PSW!AO7,Translations!A1:P1,0),0)</f>
        <v>Software level</v>
      </c>
      <c r="R27" s="948"/>
      <c r="S27" s="948"/>
      <c r="T27" s="948"/>
      <c r="U27" s="949"/>
      <c r="V27" s="971"/>
      <c r="W27" s="972"/>
      <c r="X27" s="972"/>
      <c r="Y27" s="972"/>
      <c r="Z27" s="972"/>
      <c r="AA27" s="972"/>
      <c r="AB27" s="972"/>
      <c r="AC27" s="972"/>
      <c r="AD27" s="972"/>
      <c r="AE27" s="972"/>
      <c r="AF27" s="972"/>
      <c r="AG27" s="972"/>
      <c r="AH27" s="973"/>
      <c r="AI27" s="123"/>
      <c r="AJ27" s="123"/>
      <c r="AK27" s="123"/>
      <c r="AL27" s="123"/>
      <c r="AM27" s="123"/>
      <c r="AN27" s="124"/>
    </row>
    <row r="28" spans="1:40" s="45" customFormat="1" ht="15.75" customHeight="1" thickBot="1">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4"/>
    </row>
    <row r="29" spans="1:40" s="45" customFormat="1" ht="12.75" customHeight="1" thickBot="1">
      <c r="A29" s="947" t="str">
        <f>VLOOKUP("diagnosis level",Translations!$A:$P,MATCH(PSW!AO7,Translations!A1:P1,0),0)</f>
        <v>Diagnosis level</v>
      </c>
      <c r="B29" s="948"/>
      <c r="C29" s="948"/>
      <c r="D29" s="948"/>
      <c r="E29" s="948"/>
      <c r="F29" s="948"/>
      <c r="G29" s="948"/>
      <c r="H29" s="948"/>
      <c r="I29" s="948"/>
      <c r="J29" s="949"/>
      <c r="K29" s="950"/>
      <c r="L29" s="951"/>
      <c r="M29" s="951"/>
      <c r="N29" s="951"/>
      <c r="O29" s="951"/>
      <c r="P29" s="952"/>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4"/>
    </row>
    <row r="30" spans="1:40" s="45" customFormat="1" ht="15.75" customHeight="1" thickBot="1">
      <c r="A30" s="126"/>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9"/>
    </row>
    <row r="31" spans="1:40" s="45" customFormat="1" ht="4.5" customHeight="1" thickBot="1">
      <c r="A31" s="122"/>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4"/>
    </row>
    <row r="32" spans="1:40" s="45" customFormat="1" ht="15.75" thickBot="1">
      <c r="A32" s="132"/>
      <c r="B32" s="133"/>
      <c r="C32" s="133"/>
      <c r="D32" s="133"/>
      <c r="E32" s="133"/>
      <c r="F32" s="244"/>
      <c r="G32" s="953" t="str">
        <f>VLOOKUP("OK (green)",Translations!$A:$P,MATCH(PSW!AO7,Translations!A1:P1,0),0)</f>
        <v>OK (green)</v>
      </c>
      <c r="H32" s="954"/>
      <c r="I32" s="954"/>
      <c r="J32" s="954"/>
      <c r="K32" s="954"/>
      <c r="L32" s="955"/>
      <c r="M32" s="956" t="str">
        <f>VLOOKUP("OK (yellow)",Translations!$A:$P,MATCH(PSW!AO7,Translations!A1:P1,0),0)</f>
        <v>Conditionally OK (yellow)</v>
      </c>
      <c r="N32" s="957"/>
      <c r="O32" s="957"/>
      <c r="P32" s="957"/>
      <c r="Q32" s="957"/>
      <c r="R32" s="957"/>
      <c r="S32" s="957"/>
      <c r="T32" s="957"/>
      <c r="U32" s="957"/>
      <c r="V32" s="957"/>
      <c r="W32" s="957"/>
      <c r="X32" s="957"/>
      <c r="Y32" s="957"/>
      <c r="Z32" s="957"/>
      <c r="AA32" s="957"/>
      <c r="AB32" s="958"/>
      <c r="AC32" s="959" t="str">
        <f>VLOOKUP("NOK (red)",Translations!$A:$P,MATCH(PSW!AO7,Translations!A1:P1,0),0)</f>
        <v>NOK (red)</v>
      </c>
      <c r="AD32" s="960"/>
      <c r="AE32" s="960"/>
      <c r="AF32" s="960"/>
      <c r="AG32" s="960"/>
      <c r="AH32" s="960"/>
      <c r="AI32" s="960"/>
      <c r="AJ32" s="960"/>
      <c r="AK32" s="960"/>
      <c r="AL32" s="960"/>
      <c r="AM32" s="960"/>
      <c r="AN32" s="961"/>
    </row>
    <row r="33" spans="1:40" s="45" customFormat="1" ht="15" customHeight="1">
      <c r="A33" s="962" t="str">
        <f>VLOOKUP("machines",Translations!$A:$P,MATCH(PSW!AO7,Translations!A1:P1,0),0)</f>
        <v>Machines</v>
      </c>
      <c r="B33" s="963"/>
      <c r="C33" s="963"/>
      <c r="D33" s="963"/>
      <c r="E33" s="963"/>
      <c r="F33" s="964"/>
      <c r="G33" s="1013" t="str">
        <f>VLOOKUP("production location",Translations!$A:$P,MATCH(PSW!AO7,Translations!A1:P1,0),0)</f>
        <v>Production at serial production location</v>
      </c>
      <c r="H33" s="1014"/>
      <c r="I33" s="1014"/>
      <c r="J33" s="1014"/>
      <c r="K33" s="1014"/>
      <c r="L33" s="1015"/>
      <c r="M33" s="893" t="str">
        <f>VLOOKUP("production location",Translations!$A:$P,MATCH(PSW!AO7,Translations!A1:P1,0),0)</f>
        <v>Production at serial production location</v>
      </c>
      <c r="N33" s="894"/>
      <c r="O33" s="894"/>
      <c r="P33" s="894"/>
      <c r="Q33" s="894"/>
      <c r="R33" s="894"/>
      <c r="S33" s="894"/>
      <c r="T33" s="894"/>
      <c r="U33" s="894"/>
      <c r="V33" s="894"/>
      <c r="W33" s="894"/>
      <c r="X33" s="894"/>
      <c r="Y33" s="894"/>
      <c r="Z33" s="894"/>
      <c r="AA33" s="894"/>
      <c r="AB33" s="895"/>
      <c r="AC33" s="893" t="str">
        <f>VLOOKUP("series not location",Translations!$A:$P,MATCH(PSW!AO7,Translations!A1:P1,0),0)</f>
        <v>Production not at serial production location</v>
      </c>
      <c r="AD33" s="894"/>
      <c r="AE33" s="894"/>
      <c r="AF33" s="894"/>
      <c r="AG33" s="894"/>
      <c r="AH33" s="894"/>
      <c r="AI33" s="894"/>
      <c r="AJ33" s="894"/>
      <c r="AK33" s="894"/>
      <c r="AL33" s="894"/>
      <c r="AM33" s="894"/>
      <c r="AN33" s="895"/>
    </row>
    <row r="34" spans="1:40" s="45" customFormat="1" ht="14.25" customHeight="1">
      <c r="A34" s="965" t="str">
        <f>VLOOKUP("plant",Translations!$A:$P,MATCH(PSW!AO7,Translations!A1:P1,0),0)</f>
        <v>Equipment</v>
      </c>
      <c r="B34" s="966"/>
      <c r="C34" s="966"/>
      <c r="D34" s="966"/>
      <c r="E34" s="966"/>
      <c r="F34" s="967"/>
      <c r="G34" s="1016"/>
      <c r="H34" s="1017"/>
      <c r="I34" s="1017"/>
      <c r="J34" s="1017"/>
      <c r="K34" s="1017"/>
      <c r="L34" s="1018"/>
      <c r="M34" s="932" t="str">
        <f>VLOOKUP("no quality",Translations!$A:$P,MATCH(PSW!AO7,Translations!A1:P1,0),0)</f>
        <v>No quality problems expected in serial production</v>
      </c>
      <c r="N34" s="933"/>
      <c r="O34" s="933"/>
      <c r="P34" s="933"/>
      <c r="Q34" s="933"/>
      <c r="R34" s="933"/>
      <c r="S34" s="933"/>
      <c r="T34" s="933"/>
      <c r="U34" s="933"/>
      <c r="V34" s="933"/>
      <c r="W34" s="933"/>
      <c r="X34" s="933"/>
      <c r="Y34" s="933"/>
      <c r="Z34" s="933"/>
      <c r="AA34" s="933"/>
      <c r="AB34" s="934"/>
      <c r="AC34" s="932" t="str">
        <f>VLOOKUP("or quality",Translations!$A:$P,MATCH(PSW!AO7,Translations!A1:P1,0),0)</f>
        <v>or quality problems to be expected</v>
      </c>
      <c r="AD34" s="933"/>
      <c r="AE34" s="933"/>
      <c r="AF34" s="933"/>
      <c r="AG34" s="933"/>
      <c r="AH34" s="933"/>
      <c r="AI34" s="933"/>
      <c r="AJ34" s="933"/>
      <c r="AK34" s="933"/>
      <c r="AL34" s="933"/>
      <c r="AM34" s="933"/>
      <c r="AN34" s="934"/>
    </row>
    <row r="35" spans="1:40" s="45" customFormat="1" ht="25.5" customHeight="1">
      <c r="A35" s="965" t="str">
        <f>VLOOKUP("equipment",Translations!$A:$P,MATCH(PSW!AO7,Translations!A1:P1,0),0)</f>
        <v>Fixtures</v>
      </c>
      <c r="B35" s="966"/>
      <c r="C35" s="966"/>
      <c r="D35" s="966"/>
      <c r="E35" s="966"/>
      <c r="F35" s="967"/>
      <c r="G35" s="999" t="str">
        <f>VLOOKUP("acceptance checked",Translations!$A:$P,MATCH(PSW!AO7,Translations!A1:P1,0),0)</f>
        <v>acceptance checked by supplier, capability demonstrated</v>
      </c>
      <c r="H35" s="1000"/>
      <c r="I35" s="1000"/>
      <c r="J35" s="1000"/>
      <c r="K35" s="1000"/>
      <c r="L35" s="1001"/>
      <c r="M35" s="932"/>
      <c r="N35" s="933"/>
      <c r="O35" s="933"/>
      <c r="P35" s="933"/>
      <c r="Q35" s="933"/>
      <c r="R35" s="933"/>
      <c r="S35" s="933"/>
      <c r="T35" s="933"/>
      <c r="U35" s="933"/>
      <c r="V35" s="933"/>
      <c r="W35" s="933"/>
      <c r="X35" s="933"/>
      <c r="Y35" s="933"/>
      <c r="Z35" s="933"/>
      <c r="AA35" s="933"/>
      <c r="AB35" s="934"/>
      <c r="AC35" s="932"/>
      <c r="AD35" s="933"/>
      <c r="AE35" s="933"/>
      <c r="AF35" s="933"/>
      <c r="AG35" s="933"/>
      <c r="AH35" s="933"/>
      <c r="AI35" s="933"/>
      <c r="AJ35" s="933"/>
      <c r="AK35" s="933"/>
      <c r="AL35" s="933"/>
      <c r="AM35" s="933"/>
      <c r="AN35" s="934"/>
    </row>
    <row r="36" spans="1:40" s="45" customFormat="1" ht="3.75" customHeight="1" thickBot="1">
      <c r="A36" s="150"/>
      <c r="B36" s="151"/>
      <c r="C36" s="151"/>
      <c r="D36" s="151"/>
      <c r="E36" s="151"/>
      <c r="F36" s="152"/>
      <c r="G36" s="246"/>
      <c r="H36" s="247"/>
      <c r="I36" s="247"/>
      <c r="J36" s="247"/>
      <c r="K36" s="247"/>
      <c r="L36" s="248"/>
      <c r="M36" s="209"/>
      <c r="N36" s="210"/>
      <c r="O36" s="210"/>
      <c r="P36" s="210"/>
      <c r="Q36" s="210"/>
      <c r="R36" s="210"/>
      <c r="S36" s="210"/>
      <c r="T36" s="210"/>
      <c r="U36" s="210"/>
      <c r="V36" s="210"/>
      <c r="W36" s="210"/>
      <c r="X36" s="210"/>
      <c r="Y36" s="210"/>
      <c r="Z36" s="210"/>
      <c r="AA36" s="210"/>
      <c r="AB36" s="211"/>
      <c r="AC36" s="209"/>
      <c r="AD36" s="210"/>
      <c r="AE36" s="210"/>
      <c r="AF36" s="210"/>
      <c r="AG36" s="210"/>
      <c r="AH36" s="210"/>
      <c r="AI36" s="210"/>
      <c r="AJ36" s="210"/>
      <c r="AK36" s="210"/>
      <c r="AL36" s="210"/>
      <c r="AM36" s="210"/>
      <c r="AN36" s="211"/>
    </row>
    <row r="37" spans="1:40" s="45" customFormat="1" ht="18" customHeight="1" thickBot="1">
      <c r="A37" s="150"/>
      <c r="B37" s="151"/>
      <c r="C37" s="151"/>
      <c r="D37" s="151"/>
      <c r="E37" s="151"/>
      <c r="F37" s="152"/>
      <c r="G37" s="203"/>
      <c r="H37" s="204"/>
      <c r="I37" s="229"/>
      <c r="J37" s="204"/>
      <c r="K37" s="204"/>
      <c r="L37" s="205"/>
      <c r="M37" s="212"/>
      <c r="N37" s="213"/>
      <c r="O37" s="213"/>
      <c r="P37" s="213"/>
      <c r="Q37" s="213"/>
      <c r="R37" s="213"/>
      <c r="S37" s="213"/>
      <c r="T37" s="213"/>
      <c r="U37" s="213"/>
      <c r="V37" s="228"/>
      <c r="W37" s="213"/>
      <c r="X37" s="213"/>
      <c r="Y37" s="213"/>
      <c r="Z37" s="213"/>
      <c r="AA37" s="213"/>
      <c r="AB37" s="214"/>
      <c r="AC37" s="212"/>
      <c r="AD37" s="213"/>
      <c r="AE37" s="213"/>
      <c r="AF37" s="213"/>
      <c r="AG37" s="213"/>
      <c r="AH37" s="228"/>
      <c r="AI37" s="213"/>
      <c r="AJ37" s="213"/>
      <c r="AK37" s="213"/>
      <c r="AL37" s="213"/>
      <c r="AM37" s="213"/>
      <c r="AN37" s="214"/>
    </row>
    <row r="38" spans="1:40" s="45" customFormat="1" ht="9" customHeight="1" thickBot="1">
      <c r="A38" s="134"/>
      <c r="B38" s="135"/>
      <c r="C38" s="135"/>
      <c r="D38" s="135"/>
      <c r="E38" s="135"/>
      <c r="F38" s="136"/>
      <c r="G38" s="206"/>
      <c r="H38" s="207"/>
      <c r="I38" s="207"/>
      <c r="J38" s="207"/>
      <c r="K38" s="207"/>
      <c r="L38" s="208"/>
      <c r="M38" s="215"/>
      <c r="N38" s="216"/>
      <c r="O38" s="216"/>
      <c r="P38" s="216"/>
      <c r="Q38" s="216"/>
      <c r="R38" s="216"/>
      <c r="S38" s="216"/>
      <c r="T38" s="216"/>
      <c r="U38" s="216"/>
      <c r="V38" s="216"/>
      <c r="W38" s="216"/>
      <c r="X38" s="216"/>
      <c r="Y38" s="216"/>
      <c r="Z38" s="216"/>
      <c r="AA38" s="216"/>
      <c r="AB38" s="217"/>
      <c r="AC38" s="215"/>
      <c r="AD38" s="216"/>
      <c r="AE38" s="216"/>
      <c r="AF38" s="216"/>
      <c r="AG38" s="216"/>
      <c r="AH38" s="216"/>
      <c r="AI38" s="216"/>
      <c r="AJ38" s="216"/>
      <c r="AK38" s="216"/>
      <c r="AL38" s="216"/>
      <c r="AM38" s="216"/>
      <c r="AN38" s="217"/>
    </row>
    <row r="39" spans="1:40" s="45" customFormat="1" ht="15" customHeight="1">
      <c r="A39" s="890" t="str">
        <f>VLOOKUP("tools",Translations!$A:$P,MATCH(PSW!AO7,Translations!A1:P1,0),0)</f>
        <v>Tools</v>
      </c>
      <c r="B39" s="891"/>
      <c r="C39" s="891"/>
      <c r="D39" s="891"/>
      <c r="E39" s="891"/>
      <c r="F39" s="892"/>
      <c r="G39" s="905" t="str">
        <f>VLOOKUP("production tool",Translations!$A:$P,MATCH(PSW!AO7,Translations!A1:P1,0),0)</f>
        <v>Serial production tool</v>
      </c>
      <c r="H39" s="906"/>
      <c r="I39" s="906"/>
      <c r="J39" s="906"/>
      <c r="K39" s="906"/>
      <c r="L39" s="907"/>
      <c r="M39" s="893" t="str">
        <f>VLOOKUP("production tool",Translations!$A:$P,MATCH(PSW!AO7,Translations!A1:P1,0),0)</f>
        <v>Serial production tool</v>
      </c>
      <c r="N39" s="894"/>
      <c r="O39" s="894"/>
      <c r="P39" s="894"/>
      <c r="Q39" s="894"/>
      <c r="R39" s="894"/>
      <c r="S39" s="894"/>
      <c r="T39" s="894"/>
      <c r="U39" s="894"/>
      <c r="V39" s="894"/>
      <c r="W39" s="894"/>
      <c r="X39" s="894"/>
      <c r="Y39" s="894"/>
      <c r="Z39" s="894"/>
      <c r="AA39" s="894"/>
      <c r="AB39" s="895"/>
      <c r="AC39" s="935" t="str">
        <f>VLOOKUP("no production tool",Translations!$A:$P,MATCH(PSW!AO7,Translations!A1:P1,0),0)</f>
        <v>No serial production tool</v>
      </c>
      <c r="AD39" s="936"/>
      <c r="AE39" s="936"/>
      <c r="AF39" s="936"/>
      <c r="AG39" s="936"/>
      <c r="AH39" s="936"/>
      <c r="AI39" s="936"/>
      <c r="AJ39" s="936"/>
      <c r="AK39" s="936"/>
      <c r="AL39" s="936"/>
      <c r="AM39" s="936"/>
      <c r="AN39" s="937"/>
    </row>
    <row r="40" spans="1:40" s="45" customFormat="1" ht="18" customHeight="1" thickBot="1">
      <c r="A40" s="122"/>
      <c r="B40" s="123"/>
      <c r="C40" s="123"/>
      <c r="D40" s="123"/>
      <c r="E40" s="123"/>
      <c r="F40" s="124"/>
      <c r="G40" s="941" t="str">
        <f>VLOOKUP("released",Translations!$A:$P,MATCH(PSW!AO7,Translations!A1:P1,0),0)</f>
        <v>released</v>
      </c>
      <c r="H40" s="942"/>
      <c r="I40" s="942"/>
      <c r="J40" s="942"/>
      <c r="K40" s="942"/>
      <c r="L40" s="943"/>
      <c r="M40" s="932" t="str">
        <f>VLOOKUP("improvement",Translations!$A:$P,MATCH(PSW!AO7,Translations!A1:P1,0),0)</f>
        <v>improvement</v>
      </c>
      <c r="N40" s="933"/>
      <c r="O40" s="933"/>
      <c r="P40" s="933"/>
      <c r="Q40" s="933"/>
      <c r="R40" s="933"/>
      <c r="S40" s="933"/>
      <c r="T40" s="933"/>
      <c r="U40" s="933"/>
      <c r="V40" s="933"/>
      <c r="W40" s="933"/>
      <c r="X40" s="933"/>
      <c r="Y40" s="933"/>
      <c r="Z40" s="933"/>
      <c r="AA40" s="933"/>
      <c r="AB40" s="934"/>
      <c r="AC40" s="938"/>
      <c r="AD40" s="939"/>
      <c r="AE40" s="939"/>
      <c r="AF40" s="939"/>
      <c r="AG40" s="939"/>
      <c r="AH40" s="939"/>
      <c r="AI40" s="939"/>
      <c r="AJ40" s="939"/>
      <c r="AK40" s="939"/>
      <c r="AL40" s="939"/>
      <c r="AM40" s="939"/>
      <c r="AN40" s="940"/>
    </row>
    <row r="41" spans="1:40" s="45" customFormat="1" ht="18" customHeight="1" thickBot="1">
      <c r="A41" s="122"/>
      <c r="B41" s="123"/>
      <c r="C41" s="123"/>
      <c r="D41" s="123"/>
      <c r="E41" s="123"/>
      <c r="F41" s="124"/>
      <c r="G41" s="203"/>
      <c r="H41" s="204"/>
      <c r="I41" s="229"/>
      <c r="J41" s="204"/>
      <c r="K41" s="204"/>
      <c r="L41" s="205"/>
      <c r="M41" s="218"/>
      <c r="N41" s="219"/>
      <c r="O41" s="219"/>
      <c r="P41" s="219"/>
      <c r="Q41" s="219"/>
      <c r="R41" s="219"/>
      <c r="S41" s="219"/>
      <c r="T41" s="219"/>
      <c r="U41" s="219"/>
      <c r="V41" s="228"/>
      <c r="W41" s="219"/>
      <c r="X41" s="219"/>
      <c r="Y41" s="219"/>
      <c r="Z41" s="219"/>
      <c r="AA41" s="219"/>
      <c r="AB41" s="220"/>
      <c r="AC41" s="218"/>
      <c r="AD41" s="219"/>
      <c r="AE41" s="219"/>
      <c r="AF41" s="219"/>
      <c r="AG41" s="219"/>
      <c r="AH41" s="228"/>
      <c r="AI41" s="219"/>
      <c r="AJ41" s="219"/>
      <c r="AK41" s="219"/>
      <c r="AL41" s="219"/>
      <c r="AM41" s="219"/>
      <c r="AN41" s="220"/>
    </row>
    <row r="42" spans="1:40" s="45" customFormat="1" ht="9" customHeight="1" thickBot="1">
      <c r="A42" s="126"/>
      <c r="B42" s="128"/>
      <c r="C42" s="128"/>
      <c r="D42" s="128"/>
      <c r="E42" s="128"/>
      <c r="F42" s="129"/>
      <c r="G42" s="215"/>
      <c r="H42" s="216"/>
      <c r="I42" s="216"/>
      <c r="J42" s="216"/>
      <c r="K42" s="216"/>
      <c r="L42" s="217"/>
      <c r="M42" s="215"/>
      <c r="N42" s="216"/>
      <c r="O42" s="216"/>
      <c r="P42" s="216"/>
      <c r="Q42" s="216"/>
      <c r="R42" s="216"/>
      <c r="S42" s="216"/>
      <c r="T42" s="216"/>
      <c r="U42" s="216"/>
      <c r="V42" s="216"/>
      <c r="W42" s="216"/>
      <c r="X42" s="216"/>
      <c r="Y42" s="216"/>
      <c r="Z42" s="216"/>
      <c r="AA42" s="216"/>
      <c r="AB42" s="217"/>
      <c r="AC42" s="215"/>
      <c r="AD42" s="216"/>
      <c r="AE42" s="216"/>
      <c r="AF42" s="216"/>
      <c r="AG42" s="216"/>
      <c r="AH42" s="216"/>
      <c r="AI42" s="216"/>
      <c r="AJ42" s="216"/>
      <c r="AK42" s="216"/>
      <c r="AL42" s="216"/>
      <c r="AM42" s="216"/>
      <c r="AN42" s="217"/>
    </row>
    <row r="43" spans="1:40" s="45" customFormat="1" ht="18" customHeight="1">
      <c r="A43" s="890" t="str">
        <f>VLOOKUP("chaining",Translations!$A:$P,MATCH(PSW!AO7,Translations!A1:P1,0),0)</f>
        <v>Chaining</v>
      </c>
      <c r="B43" s="891"/>
      <c r="C43" s="891"/>
      <c r="D43" s="891"/>
      <c r="E43" s="891"/>
      <c r="F43" s="892"/>
      <c r="G43" s="935" t="str">
        <f>VLOOKUP("serie",Translations!$A:$P,MATCH(PSW!AO7,Translations!A1:P1,0),0)</f>
        <v>As in serial production</v>
      </c>
      <c r="H43" s="936"/>
      <c r="I43" s="936"/>
      <c r="J43" s="936"/>
      <c r="K43" s="936"/>
      <c r="L43" s="937"/>
      <c r="M43" s="935" t="str">
        <f>VLOOKUP("no serie",Translations!$A:$P,MATCH(PSW!AO7,Translations!A1:P1,0),0)</f>
        <v>Not as in serial production</v>
      </c>
      <c r="N43" s="936"/>
      <c r="O43" s="936"/>
      <c r="P43" s="936"/>
      <c r="Q43" s="936"/>
      <c r="R43" s="936"/>
      <c r="S43" s="936"/>
      <c r="T43" s="936"/>
      <c r="U43" s="936"/>
      <c r="V43" s="936"/>
      <c r="W43" s="936"/>
      <c r="X43" s="936"/>
      <c r="Y43" s="936"/>
      <c r="Z43" s="936"/>
      <c r="AA43" s="936"/>
      <c r="AB43" s="937"/>
      <c r="AC43" s="935" t="str">
        <f>VLOOKUP("deficiences",Translations!$A:$P,MATCH(PSW!AO7,Translations!A1:P1,0),0)</f>
        <v>Quality deficiences to be expected</v>
      </c>
      <c r="AD43" s="936"/>
      <c r="AE43" s="936"/>
      <c r="AF43" s="936"/>
      <c r="AG43" s="936"/>
      <c r="AH43" s="936"/>
      <c r="AI43" s="936"/>
      <c r="AJ43" s="936"/>
      <c r="AK43" s="936"/>
      <c r="AL43" s="936"/>
      <c r="AM43" s="936"/>
      <c r="AN43" s="937"/>
    </row>
    <row r="44" spans="1:40" s="45" customFormat="1" ht="16.5" customHeight="1" thickBot="1">
      <c r="A44" s="902" t="str">
        <f>VLOOKUP("Logistics",Translations!$A:$P,MATCH(PSW!AO7,Translations!A1:P1,0),0)</f>
        <v>Logistics</v>
      </c>
      <c r="B44" s="903"/>
      <c r="C44" s="903"/>
      <c r="D44" s="903"/>
      <c r="E44" s="903"/>
      <c r="F44" s="904"/>
      <c r="G44" s="938"/>
      <c r="H44" s="939"/>
      <c r="I44" s="939"/>
      <c r="J44" s="939"/>
      <c r="K44" s="939"/>
      <c r="L44" s="940"/>
      <c r="M44" s="944" t="str">
        <f>VLOOKUP("but no quality deficiences",Translations!$A:$P,MATCH(PSW!AO7,Translations!A1:P1,0),0)</f>
        <v xml:space="preserve">But no quality deficiencies expected </v>
      </c>
      <c r="N44" s="945"/>
      <c r="O44" s="945"/>
      <c r="P44" s="945"/>
      <c r="Q44" s="945"/>
      <c r="R44" s="945"/>
      <c r="S44" s="945"/>
      <c r="T44" s="945"/>
      <c r="U44" s="945"/>
      <c r="V44" s="945"/>
      <c r="W44" s="945"/>
      <c r="X44" s="945"/>
      <c r="Y44" s="945"/>
      <c r="Z44" s="945"/>
      <c r="AA44" s="945"/>
      <c r="AB44" s="946"/>
      <c r="AC44" s="938"/>
      <c r="AD44" s="939"/>
      <c r="AE44" s="939"/>
      <c r="AF44" s="939"/>
      <c r="AG44" s="939"/>
      <c r="AH44" s="939"/>
      <c r="AI44" s="939"/>
      <c r="AJ44" s="939"/>
      <c r="AK44" s="939"/>
      <c r="AL44" s="939"/>
      <c r="AM44" s="939"/>
      <c r="AN44" s="940"/>
    </row>
    <row r="45" spans="1:40" s="45" customFormat="1" ht="18" customHeight="1" thickBot="1">
      <c r="A45" s="243"/>
      <c r="B45" s="199"/>
      <c r="C45" s="199"/>
      <c r="D45" s="199"/>
      <c r="E45" s="199"/>
      <c r="F45" s="245"/>
      <c r="G45" s="218"/>
      <c r="H45" s="219"/>
      <c r="I45" s="228"/>
      <c r="J45" s="219"/>
      <c r="K45" s="219"/>
      <c r="L45" s="220"/>
      <c r="M45" s="218"/>
      <c r="N45" s="219"/>
      <c r="O45" s="219"/>
      <c r="P45" s="219"/>
      <c r="Q45" s="219"/>
      <c r="R45" s="219"/>
      <c r="S45" s="219"/>
      <c r="T45" s="219"/>
      <c r="U45" s="219"/>
      <c r="V45" s="228"/>
      <c r="W45" s="219"/>
      <c r="X45" s="219"/>
      <c r="Y45" s="219"/>
      <c r="Z45" s="219"/>
      <c r="AA45" s="219"/>
      <c r="AB45" s="220"/>
      <c r="AC45" s="218"/>
      <c r="AD45" s="219"/>
      <c r="AE45" s="219"/>
      <c r="AF45" s="219"/>
      <c r="AG45" s="219"/>
      <c r="AH45" s="228"/>
      <c r="AI45" s="219"/>
      <c r="AJ45" s="219"/>
      <c r="AK45" s="219"/>
      <c r="AL45" s="219"/>
      <c r="AM45" s="219"/>
      <c r="AN45" s="220"/>
    </row>
    <row r="46" spans="1:40" s="45" customFormat="1" ht="9" customHeight="1" thickBot="1">
      <c r="A46" s="126"/>
      <c r="B46" s="128"/>
      <c r="C46" s="128"/>
      <c r="D46" s="128"/>
      <c r="E46" s="128"/>
      <c r="F46" s="129"/>
      <c r="G46" s="215"/>
      <c r="H46" s="216"/>
      <c r="I46" s="216"/>
      <c r="J46" s="216"/>
      <c r="K46" s="216"/>
      <c r="L46" s="217"/>
      <c r="M46" s="215"/>
      <c r="N46" s="216"/>
      <c r="O46" s="216"/>
      <c r="P46" s="216"/>
      <c r="Q46" s="216"/>
      <c r="R46" s="216"/>
      <c r="S46" s="216"/>
      <c r="T46" s="216"/>
      <c r="U46" s="216"/>
      <c r="V46" s="216"/>
      <c r="W46" s="216"/>
      <c r="X46" s="216"/>
      <c r="Y46" s="216"/>
      <c r="Z46" s="216"/>
      <c r="AA46" s="216"/>
      <c r="AB46" s="217"/>
      <c r="AC46" s="215"/>
      <c r="AD46" s="216"/>
      <c r="AE46" s="216"/>
      <c r="AF46" s="216"/>
      <c r="AG46" s="216"/>
      <c r="AH46" s="216"/>
      <c r="AI46" s="216"/>
      <c r="AJ46" s="216"/>
      <c r="AK46" s="216"/>
      <c r="AL46" s="216"/>
      <c r="AM46" s="216"/>
      <c r="AN46" s="217"/>
    </row>
    <row r="47" spans="1:40" s="45" customFormat="1" ht="15" customHeight="1">
      <c r="A47" s="890" t="str">
        <f>VLOOKUP("cycle time",Translations!$A:$P,MATCH(PSW!AO7,Translations!A1:P1,0),0)</f>
        <v>Cycle time</v>
      </c>
      <c r="B47" s="891"/>
      <c r="C47" s="891"/>
      <c r="D47" s="891"/>
      <c r="E47" s="891"/>
      <c r="F47" s="892"/>
      <c r="G47" s="893" t="str">
        <f>VLOOKUP("production cycle time",Translations!$A:$P,MATCH(PSW!AO7,Translations!A1:P1,0),0)</f>
        <v>Production cycle time</v>
      </c>
      <c r="H47" s="894"/>
      <c r="I47" s="894"/>
      <c r="J47" s="894"/>
      <c r="K47" s="894"/>
      <c r="L47" s="895"/>
      <c r="M47" s="893" t="str">
        <f>VLOOKUP("production cycle time",Translations!$A:$P,MATCH(PSW!AO7,Translations!A1:P1,0),0)</f>
        <v>Production cycle time</v>
      </c>
      <c r="N47" s="894"/>
      <c r="O47" s="894"/>
      <c r="P47" s="894"/>
      <c r="Q47" s="894"/>
      <c r="R47" s="894"/>
      <c r="S47" s="894"/>
      <c r="T47" s="894"/>
      <c r="U47" s="894"/>
      <c r="V47" s="894"/>
      <c r="W47" s="894"/>
      <c r="X47" s="894"/>
      <c r="Y47" s="894"/>
      <c r="Z47" s="894"/>
      <c r="AA47" s="894"/>
      <c r="AB47" s="895"/>
      <c r="AC47" s="893" t="str">
        <f>VLOOKUP("production cycle time",Translations!$A:$P,MATCH(PSW!AO7,Translations!A1:P1,0),0)</f>
        <v>Production cycle time</v>
      </c>
      <c r="AD47" s="894"/>
      <c r="AE47" s="894"/>
      <c r="AF47" s="894"/>
      <c r="AG47" s="894"/>
      <c r="AH47" s="894"/>
      <c r="AI47" s="894"/>
      <c r="AJ47" s="894"/>
      <c r="AK47" s="894"/>
      <c r="AL47" s="894"/>
      <c r="AM47" s="894"/>
      <c r="AN47" s="895"/>
    </row>
    <row r="48" spans="1:40" s="45" customFormat="1" ht="18" customHeight="1" thickBot="1">
      <c r="A48" s="902" t="str">
        <f>VLOOKUP("quantity",Translations!$A:$P,MATCH(PSW!AO7,Translations!A1:P1,0),0)</f>
        <v>Quantity</v>
      </c>
      <c r="B48" s="903"/>
      <c r="C48" s="903"/>
      <c r="D48" s="903"/>
      <c r="E48" s="903"/>
      <c r="F48" s="904"/>
      <c r="G48" s="932" t="str">
        <f>VLOOKUP("no special actions",Translations!$A:$P,MATCH(PSW!AO7,Translations!A1:P1,0),0)</f>
        <v>No special actions</v>
      </c>
      <c r="H48" s="933"/>
      <c r="I48" s="933"/>
      <c r="J48" s="933"/>
      <c r="K48" s="933"/>
      <c r="L48" s="934"/>
      <c r="M48" s="899" t="str">
        <f>VLOOKUP("permanently",Translations!$A:$P,MATCH(PSW!AO7,Translations!A1:P1,0),0)</f>
        <v>Permanently achievable with special actions</v>
      </c>
      <c r="N48" s="900"/>
      <c r="O48" s="900"/>
      <c r="P48" s="900"/>
      <c r="Q48" s="900"/>
      <c r="R48" s="900"/>
      <c r="S48" s="900"/>
      <c r="T48" s="900"/>
      <c r="U48" s="900"/>
      <c r="V48" s="900"/>
      <c r="W48" s="900"/>
      <c r="X48" s="900"/>
      <c r="Y48" s="900"/>
      <c r="Z48" s="900"/>
      <c r="AA48" s="900"/>
      <c r="AB48" s="901"/>
      <c r="AC48" s="899" t="str">
        <f>VLOOKUP("not achievable",Translations!$A:$P,MATCH(PSW!AO7,Translations!A1:P1,0),0)</f>
        <v>Not achievable with special actions</v>
      </c>
      <c r="AD48" s="900"/>
      <c r="AE48" s="900"/>
      <c r="AF48" s="900"/>
      <c r="AG48" s="900"/>
      <c r="AH48" s="900"/>
      <c r="AI48" s="900"/>
      <c r="AJ48" s="900"/>
      <c r="AK48" s="900"/>
      <c r="AL48" s="900"/>
      <c r="AM48" s="900"/>
      <c r="AN48" s="901"/>
    </row>
    <row r="49" spans="1:40" s="45" customFormat="1" ht="18" customHeight="1" thickBot="1">
      <c r="A49" s="122"/>
      <c r="B49" s="123"/>
      <c r="C49" s="123"/>
      <c r="D49" s="123"/>
      <c r="E49" s="123"/>
      <c r="F49" s="124"/>
      <c r="G49" s="212"/>
      <c r="H49" s="213"/>
      <c r="I49" s="228"/>
      <c r="J49" s="213"/>
      <c r="K49" s="213"/>
      <c r="L49" s="214"/>
      <c r="M49" s="212"/>
      <c r="N49" s="213"/>
      <c r="O49" s="213"/>
      <c r="P49" s="213"/>
      <c r="Q49" s="213"/>
      <c r="R49" s="213"/>
      <c r="S49" s="213"/>
      <c r="T49" s="213"/>
      <c r="U49" s="213"/>
      <c r="V49" s="228"/>
      <c r="W49" s="213"/>
      <c r="X49" s="213"/>
      <c r="Y49" s="213"/>
      <c r="Z49" s="213"/>
      <c r="AA49" s="213"/>
      <c r="AB49" s="214"/>
      <c r="AC49" s="212"/>
      <c r="AD49" s="213"/>
      <c r="AE49" s="213"/>
      <c r="AF49" s="213"/>
      <c r="AG49" s="213"/>
      <c r="AH49" s="228"/>
      <c r="AI49" s="213"/>
      <c r="AJ49" s="213"/>
      <c r="AK49" s="213"/>
      <c r="AL49" s="213"/>
      <c r="AM49" s="213"/>
      <c r="AN49" s="214"/>
    </row>
    <row r="50" spans="1:40" s="45" customFormat="1" ht="8.25" customHeight="1" thickBot="1">
      <c r="A50" s="122"/>
      <c r="B50" s="123"/>
      <c r="C50" s="123"/>
      <c r="D50" s="123"/>
      <c r="E50" s="123"/>
      <c r="F50" s="124"/>
      <c r="G50" s="215"/>
      <c r="H50" s="216"/>
      <c r="I50" s="216"/>
      <c r="J50" s="216"/>
      <c r="K50" s="216"/>
      <c r="L50" s="217"/>
      <c r="M50" s="215"/>
      <c r="N50" s="216"/>
      <c r="O50" s="216"/>
      <c r="P50" s="216"/>
      <c r="Q50" s="216"/>
      <c r="R50" s="216"/>
      <c r="S50" s="216"/>
      <c r="T50" s="216"/>
      <c r="U50" s="216"/>
      <c r="V50" s="216"/>
      <c r="W50" s="216"/>
      <c r="X50" s="216"/>
      <c r="Y50" s="216"/>
      <c r="Z50" s="216"/>
      <c r="AA50" s="216"/>
      <c r="AB50" s="217"/>
      <c r="AC50" s="215"/>
      <c r="AD50" s="216"/>
      <c r="AE50" s="216"/>
      <c r="AF50" s="216"/>
      <c r="AG50" s="216"/>
      <c r="AH50" s="216"/>
      <c r="AI50" s="216"/>
      <c r="AJ50" s="216"/>
      <c r="AK50" s="216"/>
      <c r="AL50" s="216"/>
      <c r="AM50" s="216"/>
      <c r="AN50" s="217"/>
    </row>
    <row r="51" spans="1:40" s="45" customFormat="1" ht="15" customHeight="1">
      <c r="A51" s="122"/>
      <c r="B51" s="123"/>
      <c r="C51" s="123"/>
      <c r="D51" s="123"/>
      <c r="E51" s="123"/>
      <c r="F51" s="124"/>
      <c r="G51" s="893" t="str">
        <f>VLOOKUP("all production tools",Translations!$A:$P,MATCH(PSW!AO7,Translations!A1:P1,0),0)</f>
        <v>All production tools / cavities</v>
      </c>
      <c r="H51" s="894"/>
      <c r="I51" s="894"/>
      <c r="J51" s="894"/>
      <c r="K51" s="894"/>
      <c r="L51" s="895"/>
      <c r="M51" s="893" t="str">
        <f>VLOOKUP("at least",Translations!$A:$P,MATCH(PSW!AO7,Translations!A1:P1,0),0)</f>
        <v>At least one set of series production tool approved</v>
      </c>
      <c r="N51" s="894"/>
      <c r="O51" s="894"/>
      <c r="P51" s="894"/>
      <c r="Q51" s="894"/>
      <c r="R51" s="894"/>
      <c r="S51" s="894"/>
      <c r="T51" s="894"/>
      <c r="U51" s="894"/>
      <c r="V51" s="894"/>
      <c r="W51" s="894"/>
      <c r="X51" s="894"/>
      <c r="Y51" s="894"/>
      <c r="Z51" s="894"/>
      <c r="AA51" s="894"/>
      <c r="AB51" s="895"/>
      <c r="AC51" s="893" t="str">
        <f>VLOOKUP("no production tools",Translations!$A:$P,MATCH(PSW!AO7,Translations!A1:P1,0),0)</f>
        <v>No serial production tools</v>
      </c>
      <c r="AD51" s="894"/>
      <c r="AE51" s="894"/>
      <c r="AF51" s="894"/>
      <c r="AG51" s="894"/>
      <c r="AH51" s="894"/>
      <c r="AI51" s="894"/>
      <c r="AJ51" s="894"/>
      <c r="AK51" s="894"/>
      <c r="AL51" s="894"/>
      <c r="AM51" s="894"/>
      <c r="AN51" s="895"/>
    </row>
    <row r="52" spans="1:40" s="45" customFormat="1" ht="12.75" customHeight="1">
      <c r="A52" s="122"/>
      <c r="B52" s="123"/>
      <c r="C52" s="123"/>
      <c r="D52" s="123"/>
      <c r="E52" s="123"/>
      <c r="F52" s="124"/>
      <c r="G52" s="929"/>
      <c r="H52" s="930"/>
      <c r="I52" s="930"/>
      <c r="J52" s="930"/>
      <c r="K52" s="930"/>
      <c r="L52" s="931"/>
      <c r="M52" s="932"/>
      <c r="N52" s="933"/>
      <c r="O52" s="933"/>
      <c r="P52" s="933"/>
      <c r="Q52" s="933"/>
      <c r="R52" s="933"/>
      <c r="S52" s="933"/>
      <c r="T52" s="933"/>
      <c r="U52" s="933"/>
      <c r="V52" s="933"/>
      <c r="W52" s="933"/>
      <c r="X52" s="933"/>
      <c r="Y52" s="933"/>
      <c r="Z52" s="933"/>
      <c r="AA52" s="933"/>
      <c r="AB52" s="934"/>
      <c r="AC52" s="209"/>
      <c r="AD52" s="210"/>
      <c r="AE52" s="210"/>
      <c r="AF52" s="210"/>
      <c r="AG52" s="210"/>
      <c r="AH52" s="210"/>
      <c r="AI52" s="210"/>
      <c r="AJ52" s="210"/>
      <c r="AK52" s="210"/>
      <c r="AL52" s="210"/>
      <c r="AM52" s="210"/>
      <c r="AN52" s="211"/>
    </row>
    <row r="53" spans="1:40" s="45" customFormat="1" ht="18" customHeight="1" thickBot="1">
      <c r="A53" s="122"/>
      <c r="B53" s="123"/>
      <c r="C53" s="123"/>
      <c r="D53" s="123"/>
      <c r="E53" s="123"/>
      <c r="F53" s="124"/>
      <c r="G53" s="899" t="str">
        <f>VLOOKUP("checked",Translations!$A:$P,MATCH(PSW!AO7,Translations!A1:P1,0),0)</f>
        <v>checked / released</v>
      </c>
      <c r="H53" s="900"/>
      <c r="I53" s="900"/>
      <c r="J53" s="900"/>
      <c r="K53" s="900"/>
      <c r="L53" s="901"/>
      <c r="M53" s="209"/>
      <c r="N53" s="210"/>
      <c r="O53" s="210"/>
      <c r="P53" s="210"/>
      <c r="Q53" s="210"/>
      <c r="R53" s="210"/>
      <c r="S53" s="210"/>
      <c r="T53" s="210"/>
      <c r="U53" s="210"/>
      <c r="V53" s="210"/>
      <c r="W53" s="210"/>
      <c r="X53" s="210"/>
      <c r="Y53" s="210"/>
      <c r="Z53" s="210"/>
      <c r="AA53" s="210"/>
      <c r="AB53" s="211"/>
      <c r="AC53" s="209"/>
      <c r="AD53" s="210"/>
      <c r="AE53" s="210"/>
      <c r="AF53" s="210"/>
      <c r="AG53" s="210"/>
      <c r="AH53" s="210"/>
      <c r="AI53" s="210"/>
      <c r="AJ53" s="210"/>
      <c r="AK53" s="210"/>
      <c r="AL53" s="210"/>
      <c r="AM53" s="210"/>
      <c r="AN53" s="211"/>
    </row>
    <row r="54" spans="1:40" s="45" customFormat="1" ht="18" customHeight="1" thickBot="1">
      <c r="A54" s="122"/>
      <c r="B54" s="123"/>
      <c r="C54" s="123"/>
      <c r="D54" s="123"/>
      <c r="E54" s="123"/>
      <c r="F54" s="124"/>
      <c r="G54" s="221"/>
      <c r="H54" s="222"/>
      <c r="I54" s="227"/>
      <c r="J54" s="222"/>
      <c r="K54" s="222"/>
      <c r="L54" s="223"/>
      <c r="M54" s="212"/>
      <c r="N54" s="213"/>
      <c r="O54" s="213"/>
      <c r="P54" s="213"/>
      <c r="Q54" s="213"/>
      <c r="R54" s="213"/>
      <c r="S54" s="213"/>
      <c r="T54" s="213"/>
      <c r="U54" s="213"/>
      <c r="V54" s="228"/>
      <c r="W54" s="213"/>
      <c r="X54" s="213"/>
      <c r="Y54" s="213"/>
      <c r="Z54" s="213"/>
      <c r="AA54" s="213"/>
      <c r="AB54" s="214"/>
      <c r="AC54" s="212"/>
      <c r="AD54" s="213"/>
      <c r="AE54" s="213"/>
      <c r="AF54" s="213"/>
      <c r="AG54" s="213"/>
      <c r="AH54" s="228"/>
      <c r="AI54" s="213"/>
      <c r="AJ54" s="213"/>
      <c r="AK54" s="213"/>
      <c r="AL54" s="213"/>
      <c r="AM54" s="213"/>
      <c r="AN54" s="214"/>
    </row>
    <row r="55" spans="1:40" s="45" customFormat="1" ht="9" customHeight="1" thickBot="1">
      <c r="A55" s="122"/>
      <c r="B55" s="123"/>
      <c r="C55" s="123"/>
      <c r="D55" s="123"/>
      <c r="E55" s="123"/>
      <c r="F55" s="124"/>
      <c r="G55" s="215"/>
      <c r="H55" s="216"/>
      <c r="I55" s="216"/>
      <c r="J55" s="216"/>
      <c r="K55" s="216"/>
      <c r="L55" s="217"/>
      <c r="M55" s="215"/>
      <c r="N55" s="216"/>
      <c r="O55" s="216"/>
      <c r="P55" s="216"/>
      <c r="Q55" s="216"/>
      <c r="R55" s="216"/>
      <c r="S55" s="216"/>
      <c r="T55" s="216"/>
      <c r="U55" s="216"/>
      <c r="V55" s="216"/>
      <c r="W55" s="216"/>
      <c r="X55" s="216"/>
      <c r="Y55" s="216"/>
      <c r="Z55" s="216"/>
      <c r="AA55" s="216"/>
      <c r="AB55" s="217"/>
      <c r="AC55" s="215"/>
      <c r="AD55" s="216"/>
      <c r="AE55" s="216"/>
      <c r="AF55" s="216"/>
      <c r="AG55" s="216"/>
      <c r="AH55" s="216"/>
      <c r="AI55" s="216"/>
      <c r="AJ55" s="216"/>
      <c r="AK55" s="216"/>
      <c r="AL55" s="216"/>
      <c r="AM55" s="216"/>
      <c r="AN55" s="217"/>
    </row>
    <row r="56" spans="1:40" s="45" customFormat="1" ht="15" customHeight="1">
      <c r="A56" s="122"/>
      <c r="B56" s="123"/>
      <c r="C56" s="123"/>
      <c r="D56" s="123"/>
      <c r="E56" s="123"/>
      <c r="F56" s="124"/>
      <c r="G56" s="893" t="str">
        <f>VLOOKUP("all production lines",Translations!$A:$P,MATCH(PSW!AO7,Translations!A1:P1,0),0)</f>
        <v>All production lines</v>
      </c>
      <c r="H56" s="894"/>
      <c r="I56" s="894"/>
      <c r="J56" s="894"/>
      <c r="K56" s="894"/>
      <c r="L56" s="895"/>
      <c r="M56" s="935" t="str">
        <f>VLOOKUP("one production line",Translations!$A:$P,MATCH(PSW!AO7,Translations!A1:P1,0),0)</f>
        <v>One production line</v>
      </c>
      <c r="N56" s="936"/>
      <c r="O56" s="936"/>
      <c r="P56" s="936"/>
      <c r="Q56" s="936"/>
      <c r="R56" s="936"/>
      <c r="S56" s="936"/>
      <c r="T56" s="936"/>
      <c r="U56" s="936"/>
      <c r="V56" s="936"/>
      <c r="W56" s="936"/>
      <c r="X56" s="936"/>
      <c r="Y56" s="936"/>
      <c r="Z56" s="936"/>
      <c r="AA56" s="936"/>
      <c r="AB56" s="937"/>
      <c r="AC56" s="893" t="str">
        <f>VLOOKUP("no production line",Translations!$A:$P,MATCH(PSW!AO7,Translations!A1:P1,0),0)</f>
        <v>No serial production line</v>
      </c>
      <c r="AD56" s="894"/>
      <c r="AE56" s="894"/>
      <c r="AF56" s="894"/>
      <c r="AG56" s="894"/>
      <c r="AH56" s="894"/>
      <c r="AI56" s="894"/>
      <c r="AJ56" s="894"/>
      <c r="AK56" s="894"/>
      <c r="AL56" s="894"/>
      <c r="AM56" s="894"/>
      <c r="AN56" s="895"/>
    </row>
    <row r="57" spans="1:40" s="45" customFormat="1" ht="16.5" customHeight="1" thickBot="1">
      <c r="A57" s="122"/>
      <c r="B57" s="123"/>
      <c r="C57" s="123"/>
      <c r="D57" s="123"/>
      <c r="E57" s="123"/>
      <c r="F57" s="124"/>
      <c r="G57" s="932" t="str">
        <f>VLOOKUP("checked",Translations!$A:$P,MATCH(PSW!AO7,Translations!A1:P1,0),0)</f>
        <v>checked / released</v>
      </c>
      <c r="H57" s="933"/>
      <c r="I57" s="933"/>
      <c r="J57" s="933"/>
      <c r="K57" s="933"/>
      <c r="L57" s="934"/>
      <c r="M57" s="996" t="str">
        <f>VLOOKUP("checked",Translations!$A:$P,MATCH(PSW!AO7,Translations!A1:P1,0),0)</f>
        <v>checked / released</v>
      </c>
      <c r="N57" s="997"/>
      <c r="O57" s="997"/>
      <c r="P57" s="997"/>
      <c r="Q57" s="997"/>
      <c r="R57" s="997"/>
      <c r="S57" s="997"/>
      <c r="T57" s="997"/>
      <c r="U57" s="997"/>
      <c r="V57" s="997"/>
      <c r="W57" s="997"/>
      <c r="X57" s="997"/>
      <c r="Y57" s="997"/>
      <c r="Z57" s="997"/>
      <c r="AA57" s="997"/>
      <c r="AB57" s="998"/>
      <c r="AC57" s="209"/>
      <c r="AD57" s="210"/>
      <c r="AE57" s="210"/>
      <c r="AF57" s="210"/>
      <c r="AG57" s="210"/>
      <c r="AH57" s="210"/>
      <c r="AI57" s="210"/>
      <c r="AJ57" s="210"/>
      <c r="AK57" s="210"/>
      <c r="AL57" s="210"/>
      <c r="AM57" s="210"/>
      <c r="AN57" s="211"/>
    </row>
    <row r="58" spans="1:40" s="45" customFormat="1" ht="18" customHeight="1" thickBot="1">
      <c r="A58" s="122"/>
      <c r="B58" s="123"/>
      <c r="C58" s="123"/>
      <c r="D58" s="123"/>
      <c r="E58" s="123"/>
      <c r="F58" s="124"/>
      <c r="G58" s="212"/>
      <c r="H58" s="213"/>
      <c r="I58" s="228"/>
      <c r="J58" s="213"/>
      <c r="K58" s="213"/>
      <c r="L58" s="214"/>
      <c r="M58" s="212"/>
      <c r="N58" s="213"/>
      <c r="O58" s="213"/>
      <c r="P58" s="213"/>
      <c r="Q58" s="213"/>
      <c r="R58" s="213"/>
      <c r="S58" s="213"/>
      <c r="T58" s="213"/>
      <c r="U58" s="213"/>
      <c r="V58" s="228"/>
      <c r="W58" s="213"/>
      <c r="X58" s="213"/>
      <c r="Y58" s="213"/>
      <c r="Z58" s="213"/>
      <c r="AA58" s="213"/>
      <c r="AB58" s="214"/>
      <c r="AC58" s="212"/>
      <c r="AD58" s="213"/>
      <c r="AE58" s="213"/>
      <c r="AF58" s="213"/>
      <c r="AG58" s="213"/>
      <c r="AH58" s="228"/>
      <c r="AI58" s="213"/>
      <c r="AJ58" s="213"/>
      <c r="AK58" s="213"/>
      <c r="AL58" s="213"/>
      <c r="AM58" s="213"/>
      <c r="AN58" s="214"/>
    </row>
    <row r="59" spans="1:40" s="45" customFormat="1" ht="8.25" customHeight="1" thickBot="1">
      <c r="A59" s="126"/>
      <c r="B59" s="128"/>
      <c r="C59" s="128"/>
      <c r="D59" s="128"/>
      <c r="E59" s="128"/>
      <c r="F59" s="129"/>
      <c r="G59" s="215"/>
      <c r="H59" s="216"/>
      <c r="I59" s="216"/>
      <c r="J59" s="216"/>
      <c r="K59" s="216"/>
      <c r="L59" s="217"/>
      <c r="M59" s="215"/>
      <c r="N59" s="216"/>
      <c r="O59" s="216"/>
      <c r="P59" s="216"/>
      <c r="Q59" s="216"/>
      <c r="R59" s="216"/>
      <c r="S59" s="216"/>
      <c r="T59" s="216"/>
      <c r="U59" s="216"/>
      <c r="V59" s="216"/>
      <c r="W59" s="216"/>
      <c r="X59" s="216"/>
      <c r="Y59" s="216"/>
      <c r="Z59" s="216"/>
      <c r="AA59" s="216"/>
      <c r="AB59" s="217"/>
      <c r="AC59" s="215"/>
      <c r="AD59" s="216"/>
      <c r="AE59" s="216"/>
      <c r="AF59" s="216"/>
      <c r="AG59" s="216"/>
      <c r="AH59" s="216"/>
      <c r="AI59" s="216"/>
      <c r="AJ59" s="216"/>
      <c r="AK59" s="216"/>
      <c r="AL59" s="216"/>
      <c r="AM59" s="216"/>
      <c r="AN59" s="217"/>
    </row>
    <row r="60" spans="1:40" s="45" customFormat="1" ht="14.25" customHeight="1">
      <c r="A60" s="890" t="str">
        <f>VLOOKUP("personnel",Translations!$A:$P,MATCH(PSW!AO7,Translations!A1:P1,0),0)</f>
        <v>Personnel</v>
      </c>
      <c r="B60" s="891"/>
      <c r="C60" s="891"/>
      <c r="D60" s="891"/>
      <c r="E60" s="891"/>
      <c r="F60" s="892"/>
      <c r="G60" s="893" t="str">
        <f>VLOOKUP("all production personnel",Translations!$A:$P,MATCH(PSW!AO7,Translations!A1:P1,0),0)</f>
        <v>All production personnel trained</v>
      </c>
      <c r="H60" s="894"/>
      <c r="I60" s="894"/>
      <c r="J60" s="894"/>
      <c r="K60" s="894"/>
      <c r="L60" s="895"/>
      <c r="M60" s="893" t="str">
        <f>VLOOKUP("selected production personnel",Translations!$A:$P,MATCH(PSW!AO7,Translations!A1:P1,0),0)</f>
        <v>Selected production personnel trained</v>
      </c>
      <c r="N60" s="894"/>
      <c r="O60" s="894"/>
      <c r="P60" s="894"/>
      <c r="Q60" s="894"/>
      <c r="R60" s="894"/>
      <c r="S60" s="894"/>
      <c r="T60" s="894"/>
      <c r="U60" s="894"/>
      <c r="V60" s="894"/>
      <c r="W60" s="894"/>
      <c r="X60" s="894"/>
      <c r="Y60" s="894"/>
      <c r="Z60" s="894"/>
      <c r="AA60" s="894"/>
      <c r="AB60" s="895"/>
      <c r="AC60" s="893" t="str">
        <f>VLOOKUP("no production personnel",Translations!$A:$P,MATCH(PSW!AO7,Translations!A1:P1,0),0)</f>
        <v>No production personnel</v>
      </c>
      <c r="AD60" s="894"/>
      <c r="AE60" s="894"/>
      <c r="AF60" s="894"/>
      <c r="AG60" s="894"/>
      <c r="AH60" s="894"/>
      <c r="AI60" s="894"/>
      <c r="AJ60" s="894"/>
      <c r="AK60" s="894"/>
      <c r="AL60" s="894"/>
      <c r="AM60" s="894"/>
      <c r="AN60" s="895"/>
    </row>
    <row r="61" spans="1:40" s="45" customFormat="1" ht="14.25" customHeight="1">
      <c r="A61" s="157"/>
      <c r="B61" s="158"/>
      <c r="C61" s="158"/>
      <c r="D61" s="158"/>
      <c r="E61" s="158"/>
      <c r="F61" s="159"/>
      <c r="G61" s="929"/>
      <c r="H61" s="930"/>
      <c r="I61" s="930"/>
      <c r="J61" s="930"/>
      <c r="K61" s="930"/>
      <c r="L61" s="931"/>
      <c r="M61" s="899" t="str">
        <f>VLOOKUP("complete work",Translations!$A:$P,MATCH(PSW!AO7,Translations!A1:P1,0),0)</f>
        <v>Complete work &amp; inspection instructions available</v>
      </c>
      <c r="N61" s="900"/>
      <c r="O61" s="900"/>
      <c r="P61" s="900"/>
      <c r="Q61" s="900"/>
      <c r="R61" s="900"/>
      <c r="S61" s="900"/>
      <c r="T61" s="900"/>
      <c r="U61" s="900"/>
      <c r="V61" s="900"/>
      <c r="W61" s="900"/>
      <c r="X61" s="900"/>
      <c r="Y61" s="900"/>
      <c r="Z61" s="900"/>
      <c r="AA61" s="900"/>
      <c r="AB61" s="901"/>
      <c r="AC61" s="932" t="str">
        <f>VLOOKUP("incomplete work",Translations!$A:$P,MATCH(PSW!AO7,Translations!A1:P1,0),0)</f>
        <v>Work &amp; inspection instructions incomplete</v>
      </c>
      <c r="AD61" s="933"/>
      <c r="AE61" s="933"/>
      <c r="AF61" s="933"/>
      <c r="AG61" s="933"/>
      <c r="AH61" s="933"/>
      <c r="AI61" s="933"/>
      <c r="AJ61" s="933"/>
      <c r="AK61" s="933"/>
      <c r="AL61" s="933"/>
      <c r="AM61" s="933"/>
      <c r="AN61" s="934"/>
    </row>
    <row r="62" spans="1:40" s="45" customFormat="1" ht="27" customHeight="1" thickBot="1">
      <c r="A62" s="122"/>
      <c r="B62" s="123"/>
      <c r="C62" s="123"/>
      <c r="D62" s="123"/>
      <c r="E62" s="123"/>
      <c r="F62" s="124"/>
      <c r="G62" s="932" t="str">
        <f>VLOOKUP("complete work",Translations!$A:$P,MATCH(PSW!AO7,Translations!A1:P1,0),0)</f>
        <v>Complete work &amp; inspection instructions available</v>
      </c>
      <c r="H62" s="933"/>
      <c r="I62" s="933"/>
      <c r="J62" s="933"/>
      <c r="K62" s="933"/>
      <c r="L62" s="934"/>
      <c r="M62" s="932"/>
      <c r="N62" s="933"/>
      <c r="O62" s="933"/>
      <c r="P62" s="933"/>
      <c r="Q62" s="933"/>
      <c r="R62" s="933"/>
      <c r="S62" s="933"/>
      <c r="T62" s="933"/>
      <c r="U62" s="933"/>
      <c r="V62" s="933"/>
      <c r="W62" s="933"/>
      <c r="X62" s="933"/>
      <c r="Y62" s="933"/>
      <c r="Z62" s="933"/>
      <c r="AA62" s="933"/>
      <c r="AB62" s="933"/>
      <c r="AC62" s="929"/>
      <c r="AD62" s="930"/>
      <c r="AE62" s="930"/>
      <c r="AF62" s="930"/>
      <c r="AG62" s="930"/>
      <c r="AH62" s="930"/>
      <c r="AI62" s="930"/>
      <c r="AJ62" s="930"/>
      <c r="AK62" s="930"/>
      <c r="AL62" s="930"/>
      <c r="AM62" s="930"/>
      <c r="AN62" s="931"/>
    </row>
    <row r="63" spans="1:40" s="45" customFormat="1" ht="18" customHeight="1" thickBot="1">
      <c r="A63" s="122"/>
      <c r="B63" s="123"/>
      <c r="C63" s="123"/>
      <c r="D63" s="123"/>
      <c r="E63" s="123"/>
      <c r="F63" s="124"/>
      <c r="G63" s="212"/>
      <c r="H63" s="213"/>
      <c r="I63" s="228"/>
      <c r="J63" s="213"/>
      <c r="K63" s="213"/>
      <c r="L63" s="214"/>
      <c r="M63" s="212"/>
      <c r="N63" s="213"/>
      <c r="O63" s="213"/>
      <c r="P63" s="213"/>
      <c r="Q63" s="213"/>
      <c r="R63" s="213"/>
      <c r="S63" s="213"/>
      <c r="T63" s="213"/>
      <c r="U63" s="213"/>
      <c r="V63" s="228"/>
      <c r="W63" s="213"/>
      <c r="X63" s="213"/>
      <c r="Y63" s="213"/>
      <c r="Z63" s="213"/>
      <c r="AA63" s="213"/>
      <c r="AB63" s="214"/>
      <c r="AC63" s="212"/>
      <c r="AD63" s="213"/>
      <c r="AE63" s="213"/>
      <c r="AF63" s="213"/>
      <c r="AG63" s="213"/>
      <c r="AH63" s="228"/>
      <c r="AI63" s="213"/>
      <c r="AJ63" s="213"/>
      <c r="AK63" s="213"/>
      <c r="AL63" s="213"/>
      <c r="AM63" s="213"/>
      <c r="AN63" s="214"/>
    </row>
    <row r="64" spans="1:40" s="45" customFormat="1" ht="9" customHeight="1" thickBot="1">
      <c r="A64" s="126"/>
      <c r="B64" s="128"/>
      <c r="C64" s="128"/>
      <c r="D64" s="128"/>
      <c r="E64" s="128"/>
      <c r="F64" s="129"/>
      <c r="G64" s="215"/>
      <c r="H64" s="216"/>
      <c r="I64" s="216"/>
      <c r="J64" s="216"/>
      <c r="K64" s="216"/>
      <c r="L64" s="217"/>
      <c r="M64" s="215"/>
      <c r="N64" s="216"/>
      <c r="O64" s="216"/>
      <c r="P64" s="216"/>
      <c r="Q64" s="216"/>
      <c r="R64" s="216"/>
      <c r="S64" s="216"/>
      <c r="T64" s="216"/>
      <c r="U64" s="216"/>
      <c r="V64" s="216"/>
      <c r="W64" s="216"/>
      <c r="X64" s="216"/>
      <c r="Y64" s="216"/>
      <c r="Z64" s="216"/>
      <c r="AA64" s="216"/>
      <c r="AB64" s="217"/>
      <c r="AC64" s="215"/>
      <c r="AD64" s="216"/>
      <c r="AE64" s="216"/>
      <c r="AF64" s="216"/>
      <c r="AG64" s="216"/>
      <c r="AH64" s="216"/>
      <c r="AI64" s="216"/>
      <c r="AJ64" s="216"/>
      <c r="AK64" s="216"/>
      <c r="AL64" s="216"/>
      <c r="AM64" s="216"/>
      <c r="AN64" s="217"/>
    </row>
    <row r="65" spans="1:40" s="45" customFormat="1" ht="14.25" customHeight="1">
      <c r="A65" s="923" t="str">
        <f>VLOOKUP("process capability",Translations!$A:$P,MATCH(PSW!AO7,Translations!A1:P1,0),0)</f>
        <v>Process capability</v>
      </c>
      <c r="B65" s="924"/>
      <c r="C65" s="924"/>
      <c r="D65" s="924"/>
      <c r="E65" s="924"/>
      <c r="F65" s="925"/>
      <c r="G65" s="893" t="str">
        <f>VLOOKUP("agreed c. fully",Translations!$A:$P,MATCH(PSW!AO7,Translations!A1:P1,0),0)</f>
        <v>Agreed capability fully achieved</v>
      </c>
      <c r="H65" s="894"/>
      <c r="I65" s="894"/>
      <c r="J65" s="894"/>
      <c r="K65" s="894"/>
      <c r="L65" s="895"/>
      <c r="M65" s="1010" t="str">
        <f>VLOOKUP("agreed c. not",Translations!$A:$P,MATCH(PSW!AO7,Translations!A1:P1,0),0)</f>
        <v>Agreed capability partially not achieved</v>
      </c>
      <c r="N65" s="1011"/>
      <c r="O65" s="1011"/>
      <c r="P65" s="1011"/>
      <c r="Q65" s="1011"/>
      <c r="R65" s="1011"/>
      <c r="S65" s="1011"/>
      <c r="T65" s="1011"/>
      <c r="U65" s="1011"/>
      <c r="V65" s="1011"/>
      <c r="W65" s="1011"/>
      <c r="X65" s="1011"/>
      <c r="Y65" s="1011"/>
      <c r="Z65" s="1011"/>
      <c r="AA65" s="1011"/>
      <c r="AB65" s="1012"/>
      <c r="AC65" s="893" t="str">
        <f>VLOOKUP("c. not demonstrated",Translations!$A:$P,MATCH(PSW!AO7,Translations!A1:P1,0),0)</f>
        <v>Capabilty not demonstrated</v>
      </c>
      <c r="AD65" s="894"/>
      <c r="AE65" s="894"/>
      <c r="AF65" s="894"/>
      <c r="AG65" s="894"/>
      <c r="AH65" s="894"/>
      <c r="AI65" s="894"/>
      <c r="AJ65" s="894"/>
      <c r="AK65" s="894"/>
      <c r="AL65" s="894"/>
      <c r="AM65" s="894"/>
      <c r="AN65" s="895"/>
    </row>
    <row r="66" spans="1:40" s="45" customFormat="1" ht="27.75" customHeight="1" thickBot="1">
      <c r="A66" s="896" t="str">
        <f>VLOOKUP("if not",Translations!$A:$P,MATCH(PSW!AO7,Translations!A1:P1,0),0)</f>
        <v>(if 100% inspection is not planned)</v>
      </c>
      <c r="B66" s="897"/>
      <c r="C66" s="897"/>
      <c r="D66" s="897"/>
      <c r="E66" s="897"/>
      <c r="F66" s="898"/>
      <c r="G66" s="929"/>
      <c r="H66" s="930"/>
      <c r="I66" s="930"/>
      <c r="J66" s="930"/>
      <c r="K66" s="930"/>
      <c r="L66" s="931"/>
      <c r="M66" s="899" t="str">
        <f>VLOOKUP("100% inspection",Translations!$A:$P,MATCH(PSW!AO7,Translations!A1:P1,0),0)</f>
        <v>100% inspection introduced</v>
      </c>
      <c r="N66" s="900"/>
      <c r="O66" s="900"/>
      <c r="P66" s="900"/>
      <c r="Q66" s="900"/>
      <c r="R66" s="900"/>
      <c r="S66" s="900"/>
      <c r="T66" s="900"/>
      <c r="U66" s="900"/>
      <c r="V66" s="900"/>
      <c r="W66" s="900"/>
      <c r="X66" s="900"/>
      <c r="Y66" s="900"/>
      <c r="Z66" s="900"/>
      <c r="AA66" s="900"/>
      <c r="AB66" s="901"/>
      <c r="AC66" s="899" t="str">
        <f>VLOOKUP("no 100% inspection",Translations!$A:$P,MATCH(PSW!AO7,Translations!A1:P1,0),0)</f>
        <v>No 100% inspection</v>
      </c>
      <c r="AD66" s="900"/>
      <c r="AE66" s="900"/>
      <c r="AF66" s="900"/>
      <c r="AG66" s="900"/>
      <c r="AH66" s="900"/>
      <c r="AI66" s="900"/>
      <c r="AJ66" s="900"/>
      <c r="AK66" s="900"/>
      <c r="AL66" s="900"/>
      <c r="AM66" s="900"/>
      <c r="AN66" s="901"/>
    </row>
    <row r="67" spans="1:40" s="45" customFormat="1" ht="18.75" customHeight="1" thickBot="1">
      <c r="A67" s="896"/>
      <c r="B67" s="897"/>
      <c r="C67" s="897"/>
      <c r="D67" s="897"/>
      <c r="E67" s="897"/>
      <c r="F67" s="898"/>
      <c r="G67" s="212"/>
      <c r="H67" s="213"/>
      <c r="I67" s="228"/>
      <c r="J67" s="213"/>
      <c r="K67" s="213"/>
      <c r="L67" s="214"/>
      <c r="M67" s="212"/>
      <c r="N67" s="213"/>
      <c r="O67" s="213"/>
      <c r="P67" s="213"/>
      <c r="Q67" s="213"/>
      <c r="R67" s="213"/>
      <c r="S67" s="213"/>
      <c r="T67" s="213"/>
      <c r="U67" s="213"/>
      <c r="V67" s="228"/>
      <c r="W67" s="213"/>
      <c r="X67" s="213"/>
      <c r="Y67" s="213"/>
      <c r="Z67" s="213"/>
      <c r="AA67" s="213"/>
      <c r="AB67" s="214"/>
      <c r="AC67" s="212"/>
      <c r="AD67" s="213"/>
      <c r="AE67" s="213"/>
      <c r="AF67" s="213"/>
      <c r="AG67" s="213"/>
      <c r="AH67" s="228"/>
      <c r="AI67" s="213"/>
      <c r="AJ67" s="213"/>
      <c r="AK67" s="213"/>
      <c r="AL67" s="213"/>
      <c r="AM67" s="213"/>
      <c r="AN67" s="214"/>
    </row>
    <row r="68" spans="1:40" s="45" customFormat="1" ht="8.25" customHeight="1" thickBot="1">
      <c r="A68" s="137"/>
      <c r="B68" s="138"/>
      <c r="C68" s="138"/>
      <c r="D68" s="138"/>
      <c r="E68" s="138"/>
      <c r="F68" s="139"/>
      <c r="G68" s="215"/>
      <c r="H68" s="216"/>
      <c r="I68" s="216"/>
      <c r="J68" s="216"/>
      <c r="K68" s="216"/>
      <c r="L68" s="217"/>
      <c r="M68" s="215"/>
      <c r="N68" s="216"/>
      <c r="O68" s="216"/>
      <c r="P68" s="216"/>
      <c r="Q68" s="216"/>
      <c r="R68" s="216"/>
      <c r="S68" s="216"/>
      <c r="T68" s="216"/>
      <c r="U68" s="216"/>
      <c r="V68" s="216"/>
      <c r="W68" s="216"/>
      <c r="X68" s="216"/>
      <c r="Y68" s="216"/>
      <c r="Z68" s="216"/>
      <c r="AA68" s="216"/>
      <c r="AB68" s="217"/>
      <c r="AC68" s="215"/>
      <c r="AD68" s="216"/>
      <c r="AE68" s="216"/>
      <c r="AF68" s="216"/>
      <c r="AG68" s="216"/>
      <c r="AH68" s="216"/>
      <c r="AI68" s="216"/>
      <c r="AJ68" s="216"/>
      <c r="AK68" s="216"/>
      <c r="AL68" s="216"/>
      <c r="AM68" s="216"/>
      <c r="AN68" s="217"/>
    </row>
    <row r="69" spans="1:40" s="45" customFormat="1" ht="14.25" customHeight="1">
      <c r="A69" s="923" t="str">
        <f>VLOOKUP("test",Translations!$A:$P,MATCH(PSW!AO7,Translations!A1:P1,0),0)</f>
        <v>Test/Inspection equipment</v>
      </c>
      <c r="B69" s="924"/>
      <c r="C69" s="924"/>
      <c r="D69" s="924"/>
      <c r="E69" s="924"/>
      <c r="F69" s="925"/>
      <c r="G69" s="893" t="str">
        <f>VLOOKUP("all present",Translations!$A:$P,MATCH(PSW!AO7,Translations!A1:P1,0),0)</f>
        <v>All present, checked and accepted</v>
      </c>
      <c r="H69" s="894"/>
      <c r="I69" s="894"/>
      <c r="J69" s="894"/>
      <c r="K69" s="894"/>
      <c r="L69" s="895"/>
      <c r="M69" s="893" t="str">
        <f>VLOOKUP("only partielly present",Translations!$A:$P,MATCH(PSW!AO7,Translations!A1:P1,0),0)</f>
        <v>Only partially present, checked and accepted</v>
      </c>
      <c r="N69" s="894"/>
      <c r="O69" s="894"/>
      <c r="P69" s="894"/>
      <c r="Q69" s="894"/>
      <c r="R69" s="894"/>
      <c r="S69" s="894"/>
      <c r="T69" s="894"/>
      <c r="U69" s="894"/>
      <c r="V69" s="894"/>
      <c r="W69" s="894"/>
      <c r="X69" s="894"/>
      <c r="Y69" s="894"/>
      <c r="Z69" s="894"/>
      <c r="AA69" s="894"/>
      <c r="AB69" s="895"/>
      <c r="AC69" s="893" t="str">
        <f>VLOOKUP("not present",Translations!$A:$P,MATCH(PSW!AO7,Translations!A1:P1,0),0)</f>
        <v>Not present</v>
      </c>
      <c r="AD69" s="894"/>
      <c r="AE69" s="894"/>
      <c r="AF69" s="894"/>
      <c r="AG69" s="894"/>
      <c r="AH69" s="894"/>
      <c r="AI69" s="894"/>
      <c r="AJ69" s="894"/>
      <c r="AK69" s="894"/>
      <c r="AL69" s="894"/>
      <c r="AM69" s="894"/>
      <c r="AN69" s="895"/>
    </row>
    <row r="70" spans="1:40" s="45" customFormat="1" ht="11.25" customHeight="1">
      <c r="A70" s="926"/>
      <c r="B70" s="927"/>
      <c r="C70" s="927"/>
      <c r="D70" s="927"/>
      <c r="E70" s="927"/>
      <c r="F70" s="928"/>
      <c r="G70" s="929"/>
      <c r="H70" s="930"/>
      <c r="I70" s="930"/>
      <c r="J70" s="930"/>
      <c r="K70" s="930"/>
      <c r="L70" s="931"/>
      <c r="M70" s="932" t="str">
        <f>VLOOKUP("substitute equipement",Translations!$A:$P,MATCH(PSW!AO7,Translations!A1:P1,0),0)</f>
        <v>Replacement equipement available</v>
      </c>
      <c r="N70" s="933"/>
      <c r="O70" s="933"/>
      <c r="P70" s="933"/>
      <c r="Q70" s="933"/>
      <c r="R70" s="933"/>
      <c r="S70" s="933"/>
      <c r="T70" s="933"/>
      <c r="U70" s="933"/>
      <c r="V70" s="933"/>
      <c r="W70" s="933"/>
      <c r="X70" s="933"/>
      <c r="Y70" s="933"/>
      <c r="Z70" s="933"/>
      <c r="AA70" s="933"/>
      <c r="AB70" s="934"/>
      <c r="AC70" s="932" t="str">
        <f>VLOOKUP("or not checked",Translations!$A:$P,MATCH(PSW!AO7,Translations!A1:P1,0),0)</f>
        <v>or not checked and accepted</v>
      </c>
      <c r="AD70" s="933"/>
      <c r="AE70" s="933"/>
      <c r="AF70" s="933"/>
      <c r="AG70" s="933"/>
      <c r="AH70" s="933"/>
      <c r="AI70" s="933"/>
      <c r="AJ70" s="933"/>
      <c r="AK70" s="933"/>
      <c r="AL70" s="933"/>
      <c r="AM70" s="933"/>
      <c r="AN70" s="934"/>
    </row>
    <row r="71" spans="1:40" s="45" customFormat="1" ht="17.25" customHeight="1" thickBot="1">
      <c r="A71" s="926"/>
      <c r="B71" s="927"/>
      <c r="C71" s="927"/>
      <c r="D71" s="927"/>
      <c r="E71" s="927"/>
      <c r="F71" s="928"/>
      <c r="G71" s="932" t="str">
        <f>VLOOKUP("c. demonstrated",Translations!$A:$P,MATCH(PSW!AO7,Translations!A1:P1,0),0)</f>
        <v>Capability demonstrated</v>
      </c>
      <c r="H71" s="933"/>
      <c r="I71" s="933"/>
      <c r="J71" s="933"/>
      <c r="K71" s="933"/>
      <c r="L71" s="934"/>
      <c r="M71" s="209"/>
      <c r="N71" s="210"/>
      <c r="O71" s="210"/>
      <c r="P71" s="210"/>
      <c r="Q71" s="210"/>
      <c r="R71" s="210"/>
      <c r="S71" s="210"/>
      <c r="T71" s="210"/>
      <c r="U71" s="210"/>
      <c r="V71" s="210"/>
      <c r="W71" s="210"/>
      <c r="X71" s="210"/>
      <c r="Y71" s="210"/>
      <c r="Z71" s="210"/>
      <c r="AA71" s="210"/>
      <c r="AB71" s="211"/>
      <c r="AC71" s="212"/>
      <c r="AD71" s="213"/>
      <c r="AE71" s="213"/>
      <c r="AF71" s="213"/>
      <c r="AG71" s="213"/>
      <c r="AH71" s="213"/>
      <c r="AI71" s="213"/>
      <c r="AJ71" s="213"/>
      <c r="AK71" s="213"/>
      <c r="AL71" s="213"/>
      <c r="AM71" s="213"/>
      <c r="AN71" s="214"/>
    </row>
    <row r="72" spans="1:40" s="45" customFormat="1" ht="18" customHeight="1" thickBot="1">
      <c r="A72" s="140"/>
      <c r="B72" s="161"/>
      <c r="C72" s="161"/>
      <c r="D72" s="161"/>
      <c r="E72" s="161"/>
      <c r="F72" s="162"/>
      <c r="G72" s="209"/>
      <c r="H72" s="210"/>
      <c r="I72" s="227"/>
      <c r="J72" s="210"/>
      <c r="K72" s="210"/>
      <c r="L72" s="211"/>
      <c r="M72" s="212"/>
      <c r="N72" s="213"/>
      <c r="O72" s="213"/>
      <c r="P72" s="213"/>
      <c r="Q72" s="213"/>
      <c r="R72" s="213"/>
      <c r="S72" s="213"/>
      <c r="T72" s="213"/>
      <c r="U72" s="213"/>
      <c r="V72" s="228"/>
      <c r="W72" s="213"/>
      <c r="X72" s="213"/>
      <c r="Y72" s="213"/>
      <c r="Z72" s="213"/>
      <c r="AA72" s="213"/>
      <c r="AB72" s="214"/>
      <c r="AC72" s="212"/>
      <c r="AD72" s="213"/>
      <c r="AE72" s="213"/>
      <c r="AF72" s="213"/>
      <c r="AG72" s="213"/>
      <c r="AH72" s="228"/>
      <c r="AI72" s="213"/>
      <c r="AJ72" s="213"/>
      <c r="AK72" s="213"/>
      <c r="AL72" s="213"/>
      <c r="AM72" s="213"/>
      <c r="AN72" s="214"/>
    </row>
    <row r="73" spans="1:40" s="45" customFormat="1" ht="9" customHeight="1" thickBot="1">
      <c r="A73" s="141"/>
      <c r="B73" s="142"/>
      <c r="C73" s="142"/>
      <c r="D73" s="142"/>
      <c r="E73" s="142"/>
      <c r="F73" s="143"/>
      <c r="G73" s="224"/>
      <c r="H73" s="225"/>
      <c r="I73" s="225"/>
      <c r="J73" s="225"/>
      <c r="K73" s="225"/>
      <c r="L73" s="226"/>
      <c r="M73" s="215"/>
      <c r="N73" s="216"/>
      <c r="O73" s="216"/>
      <c r="P73" s="216"/>
      <c r="Q73" s="216"/>
      <c r="R73" s="216"/>
      <c r="S73" s="216"/>
      <c r="T73" s="216"/>
      <c r="U73" s="216"/>
      <c r="V73" s="216"/>
      <c r="W73" s="216"/>
      <c r="X73" s="216"/>
      <c r="Y73" s="216"/>
      <c r="Z73" s="216"/>
      <c r="AA73" s="216"/>
      <c r="AB73" s="217"/>
      <c r="AC73" s="215"/>
      <c r="AD73" s="216"/>
      <c r="AE73" s="216"/>
      <c r="AF73" s="216"/>
      <c r="AG73" s="216"/>
      <c r="AH73" s="216"/>
      <c r="AI73" s="216"/>
      <c r="AJ73" s="216"/>
      <c r="AK73" s="216"/>
      <c r="AL73" s="216"/>
      <c r="AM73" s="216"/>
      <c r="AN73" s="217"/>
    </row>
    <row r="74" spans="1:40" s="45" customFormat="1" ht="6" customHeight="1">
      <c r="A74" s="67"/>
      <c r="B74" s="144"/>
      <c r="C74" s="144"/>
      <c r="D74" s="144"/>
      <c r="E74" s="144"/>
      <c r="F74" s="144"/>
      <c r="G74" s="145"/>
      <c r="H74" s="145"/>
      <c r="I74" s="145"/>
      <c r="J74" s="145"/>
      <c r="K74" s="145"/>
      <c r="L74" s="145"/>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row>
    <row r="75" spans="1:40" s="45" customFormat="1" ht="12" customHeight="1" thickBot="1">
      <c r="A75" s="67"/>
      <c r="B75" s="146"/>
      <c r="C75" s="146"/>
      <c r="D75" s="146"/>
      <c r="E75" s="146"/>
      <c r="F75" s="146"/>
      <c r="G75" s="146"/>
      <c r="H75" s="146"/>
      <c r="I75" s="67"/>
      <c r="J75" s="67"/>
      <c r="K75" s="67"/>
      <c r="L75" s="67"/>
      <c r="M75" s="196"/>
      <c r="N75" s="197"/>
      <c r="O75" s="197"/>
      <c r="P75" s="197"/>
      <c r="Q75" s="197"/>
      <c r="R75" s="197"/>
      <c r="S75" s="197"/>
      <c r="T75" s="196"/>
      <c r="U75" s="123"/>
      <c r="V75" s="123"/>
      <c r="W75" s="123"/>
      <c r="X75" s="123"/>
      <c r="Y75" s="123"/>
      <c r="Z75" s="123"/>
      <c r="AA75" s="123"/>
      <c r="AB75" s="123"/>
      <c r="AC75" s="123"/>
      <c r="AD75" s="123"/>
      <c r="AE75" s="123"/>
      <c r="AF75" s="123"/>
      <c r="AG75" s="123"/>
      <c r="AH75" s="123"/>
      <c r="AI75" s="123"/>
      <c r="AJ75" s="123"/>
      <c r="AK75" s="123"/>
      <c r="AL75" s="123"/>
      <c r="AM75" s="123"/>
      <c r="AN75" s="123"/>
    </row>
    <row r="76" spans="1:40" s="45" customFormat="1" ht="18" customHeight="1" thickBot="1">
      <c r="A76" s="67"/>
      <c r="B76" s="123"/>
      <c r="C76" s="123"/>
      <c r="D76" s="123"/>
      <c r="E76" s="123"/>
      <c r="F76" s="123"/>
      <c r="G76" s="912" t="str">
        <f>VLOOKUP("overall result",Translations!$A:$P,MATCH(PSW!AO7,Translations!A1:P1,0),0)</f>
        <v>Overall result:</v>
      </c>
      <c r="H76" s="912"/>
      <c r="I76" s="912"/>
      <c r="J76" s="912"/>
      <c r="K76" s="912"/>
      <c r="L76" s="912"/>
      <c r="M76" s="196"/>
      <c r="N76" s="1007"/>
      <c r="O76" s="1008"/>
      <c r="P76" s="1008"/>
      <c r="Q76" s="1008"/>
      <c r="R76" s="1008"/>
      <c r="S76" s="1009"/>
      <c r="T76" s="196"/>
      <c r="U76" s="916" t="str">
        <f>VLOOKUP("(i.O., bedingt i.O. / n.i.O.)",Translations!$A:$P,MATCH(PSW!AO7,Translations!A1:P1,0),0)</f>
        <v>(OK / conditionally OK / NOK)</v>
      </c>
      <c r="V76" s="916"/>
      <c r="W76" s="916"/>
      <c r="X76" s="916"/>
      <c r="Y76" s="916"/>
      <c r="Z76" s="916"/>
      <c r="AA76" s="916"/>
      <c r="AB76" s="916"/>
      <c r="AC76" s="916"/>
      <c r="AD76" s="916"/>
      <c r="AE76" s="123"/>
      <c r="AF76" s="123"/>
      <c r="AG76" s="123"/>
      <c r="AH76" s="123"/>
      <c r="AI76" s="123"/>
      <c r="AJ76" s="123"/>
      <c r="AK76" s="123"/>
      <c r="AL76" s="123"/>
      <c r="AM76" s="123"/>
      <c r="AN76" s="123"/>
    </row>
    <row r="77" spans="1:40" s="45" customFormat="1" ht="12" customHeight="1">
      <c r="A77" s="67"/>
      <c r="B77" s="123"/>
      <c r="C77" s="123"/>
      <c r="D77" s="123"/>
      <c r="E77" s="123"/>
      <c r="F77" s="123"/>
      <c r="G77" s="123"/>
      <c r="H77" s="123"/>
      <c r="I77" s="156"/>
      <c r="J77" s="156"/>
      <c r="K77" s="156"/>
      <c r="L77" s="156"/>
      <c r="M77" s="249"/>
      <c r="N77" s="250"/>
      <c r="O77" s="250"/>
      <c r="P77" s="250"/>
      <c r="Q77" s="250"/>
      <c r="R77" s="250"/>
      <c r="S77" s="250"/>
      <c r="T77" s="249"/>
      <c r="U77" s="123"/>
      <c r="V77" s="123"/>
      <c r="W77" s="123"/>
      <c r="X77" s="123"/>
      <c r="Y77" s="123"/>
      <c r="Z77" s="123"/>
      <c r="AA77" s="123"/>
      <c r="AB77" s="123"/>
      <c r="AC77" s="123"/>
      <c r="AD77" s="123"/>
      <c r="AE77" s="123"/>
      <c r="AF77" s="123"/>
      <c r="AG77" s="123"/>
      <c r="AH77" s="123"/>
      <c r="AI77" s="123"/>
      <c r="AJ77" s="123"/>
      <c r="AK77" s="123"/>
      <c r="AL77" s="123"/>
      <c r="AM77" s="123"/>
      <c r="AN77" s="123"/>
    </row>
    <row r="78" spans="1:40" s="45" customFormat="1" ht="12" customHeight="1">
      <c r="A78" s="67"/>
      <c r="B78" s="123"/>
      <c r="C78" s="123"/>
      <c r="D78" s="123"/>
      <c r="E78" s="123"/>
      <c r="F78" s="123"/>
      <c r="G78" s="123"/>
      <c r="H78" s="123"/>
      <c r="I78" s="147"/>
      <c r="J78" s="147"/>
      <c r="K78" s="147"/>
      <c r="L78" s="147"/>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row>
    <row r="79" spans="1:40" s="45" customFormat="1" ht="15.75" customHeight="1">
      <c r="A79" s="241"/>
      <c r="B79" s="1005"/>
      <c r="C79" s="1005"/>
      <c r="D79" s="1005"/>
      <c r="E79" s="1005"/>
      <c r="F79" s="1005"/>
      <c r="G79" s="123"/>
      <c r="H79" s="123"/>
      <c r="I79" s="1005"/>
      <c r="J79" s="1005"/>
      <c r="K79" s="1005"/>
      <c r="L79" s="1005"/>
      <c r="M79" s="1005"/>
      <c r="N79" s="1005"/>
      <c r="O79" s="1005"/>
      <c r="P79" s="1005"/>
      <c r="Q79" s="1005"/>
      <c r="R79" s="1005"/>
      <c r="S79" s="1005"/>
      <c r="T79" s="1005"/>
      <c r="U79" s="1005"/>
      <c r="V79" s="1005"/>
      <c r="W79" s="1005"/>
      <c r="X79" s="1005"/>
      <c r="Y79" s="1005"/>
      <c r="Z79" s="1005"/>
      <c r="AA79" s="1005"/>
      <c r="AB79" s="1005"/>
      <c r="AC79" s="123"/>
      <c r="AD79" s="123"/>
      <c r="AE79" s="123"/>
      <c r="AF79" s="123"/>
      <c r="AG79" s="123"/>
      <c r="AH79" s="123"/>
      <c r="AI79" s="123"/>
      <c r="AJ79" s="123"/>
      <c r="AK79" s="123"/>
      <c r="AL79" s="123"/>
      <c r="AM79" s="123"/>
      <c r="AN79" s="123"/>
    </row>
    <row r="80" spans="1:40" s="45" customFormat="1" ht="19.5" customHeight="1">
      <c r="A80" s="242"/>
      <c r="B80" s="1006"/>
      <c r="C80" s="1006"/>
      <c r="D80" s="1006"/>
      <c r="E80" s="1006"/>
      <c r="F80" s="1006"/>
      <c r="G80" s="123"/>
      <c r="H80" s="123"/>
      <c r="I80" s="1006"/>
      <c r="J80" s="1006"/>
      <c r="K80" s="1006"/>
      <c r="L80" s="1006"/>
      <c r="M80" s="1006"/>
      <c r="N80" s="1006"/>
      <c r="O80" s="1006"/>
      <c r="P80" s="1006"/>
      <c r="Q80" s="1006"/>
      <c r="R80" s="1006"/>
      <c r="S80" s="1006"/>
      <c r="T80" s="1006"/>
      <c r="U80" s="1006"/>
      <c r="V80" s="1006"/>
      <c r="W80" s="1006"/>
      <c r="X80" s="1006"/>
      <c r="Y80" s="1006"/>
      <c r="Z80" s="1006"/>
      <c r="AA80" s="1006"/>
      <c r="AB80" s="1006"/>
      <c r="AC80" s="123"/>
      <c r="AD80" s="123"/>
      <c r="AE80" s="123"/>
      <c r="AF80" s="123"/>
      <c r="AG80" s="123"/>
      <c r="AH80" s="123"/>
      <c r="AI80" s="123"/>
      <c r="AJ80" s="123"/>
      <c r="AK80" s="123"/>
      <c r="AL80" s="123"/>
      <c r="AM80" s="123"/>
      <c r="AN80" s="123"/>
    </row>
    <row r="81" spans="1:40" s="45" customFormat="1" ht="12.75" customHeight="1">
      <c r="A81" s="67"/>
      <c r="B81" s="1004" t="str">
        <f>VLOOKUP("date",Translations!$A:$P,MATCH(PSW!AO7,Translations!A1:P1,0),0)</f>
        <v>Date</v>
      </c>
      <c r="C81" s="1004"/>
      <c r="D81" s="1004"/>
      <c r="E81" s="1004"/>
      <c r="F81" s="1004"/>
      <c r="G81" s="123"/>
      <c r="H81" s="123"/>
      <c r="I81" s="123"/>
      <c r="J81" s="123"/>
      <c r="K81" s="123"/>
      <c r="L81" s="995" t="str">
        <f>VLOOKUP("signature supplier",Translations!$A:$P,MATCH(PSW!AO7,Translations!A1:P1,0),0)</f>
        <v>Signature supplier</v>
      </c>
      <c r="M81" s="995"/>
      <c r="N81" s="995"/>
      <c r="O81" s="995"/>
      <c r="P81" s="995"/>
      <c r="Q81" s="995"/>
      <c r="R81" s="995"/>
      <c r="S81" s="995"/>
      <c r="T81" s="995"/>
      <c r="U81" s="995"/>
      <c r="V81" s="123"/>
      <c r="W81" s="123"/>
      <c r="X81" s="123"/>
      <c r="Y81" s="123"/>
      <c r="Z81" s="123"/>
      <c r="AA81" s="123"/>
      <c r="AB81" s="123"/>
      <c r="AC81" s="123"/>
      <c r="AD81" s="123"/>
      <c r="AE81" s="123"/>
      <c r="AF81" s="123"/>
      <c r="AG81" s="123"/>
      <c r="AH81" s="123"/>
      <c r="AI81" s="123"/>
      <c r="AJ81" s="123"/>
      <c r="AK81" s="123"/>
      <c r="AL81" s="123"/>
      <c r="AM81" s="123"/>
      <c r="AN81" s="123"/>
    </row>
    <row r="82" spans="1:40" s="45" customFormat="1" ht="12.75" customHeight="1">
      <c r="A82" s="67"/>
      <c r="B82" s="123"/>
      <c r="C82" s="123"/>
      <c r="D82" s="123"/>
      <c r="E82" s="147"/>
      <c r="F82" s="123"/>
      <c r="G82" s="123"/>
      <c r="H82" s="123"/>
      <c r="I82" s="123"/>
      <c r="J82" s="123"/>
      <c r="K82" s="123"/>
      <c r="L82" s="147"/>
      <c r="M82" s="147"/>
      <c r="N82" s="147"/>
      <c r="O82" s="147"/>
      <c r="P82" s="147"/>
      <c r="Q82" s="147"/>
      <c r="R82" s="147"/>
      <c r="S82" s="147"/>
      <c r="T82" s="147"/>
      <c r="U82" s="147"/>
      <c r="V82" s="123"/>
      <c r="W82" s="123"/>
      <c r="X82" s="123"/>
      <c r="Y82" s="123"/>
      <c r="Z82" s="123"/>
      <c r="AA82" s="123"/>
      <c r="AB82" s="123"/>
      <c r="AC82" s="123"/>
      <c r="AD82" s="123"/>
      <c r="AE82" s="123"/>
      <c r="AF82" s="123"/>
      <c r="AG82" s="123"/>
      <c r="AH82" s="123"/>
      <c r="AI82" s="123"/>
      <c r="AJ82" s="123"/>
      <c r="AK82" s="123"/>
      <c r="AL82" s="123"/>
      <c r="AM82" s="123"/>
      <c r="AN82" s="123"/>
    </row>
    <row r="83" spans="1:40" s="45" customFormat="1" ht="12.75" customHeight="1">
      <c r="A83"/>
      <c r="B83"/>
      <c r="C83"/>
      <c r="D83"/>
      <c r="E83"/>
      <c r="F83"/>
      <c r="G83"/>
      <c r="H83"/>
      <c r="I83"/>
      <c r="J83"/>
      <c r="K83"/>
      <c r="L83"/>
      <c r="M83"/>
      <c r="N83"/>
      <c r="O83"/>
      <c r="P83"/>
      <c r="Q83"/>
      <c r="R83"/>
      <c r="S83"/>
      <c r="T83"/>
      <c r="U83"/>
      <c r="V83"/>
      <c r="W83"/>
      <c r="X83"/>
      <c r="Y83"/>
      <c r="Z83"/>
      <c r="AA83"/>
      <c r="AB83"/>
      <c r="AC83"/>
      <c r="AD83"/>
      <c r="AE83"/>
      <c r="AF83"/>
      <c r="AG83"/>
      <c r="AH83"/>
      <c r="AI83" s="67"/>
      <c r="AJ83" s="67"/>
      <c r="AK83" s="67"/>
    </row>
    <row r="84" spans="1:40" ht="12.75" customHeight="1"/>
    <row r="85" spans="1:40" s="45" customFormat="1" ht="12.75" customHeight="1">
      <c r="A85"/>
      <c r="B85"/>
      <c r="C85"/>
      <c r="D85"/>
      <c r="E85"/>
      <c r="F85"/>
      <c r="G85"/>
      <c r="H85"/>
      <c r="I85"/>
      <c r="J85"/>
      <c r="K85"/>
      <c r="L85"/>
      <c r="M85"/>
      <c r="N85"/>
      <c r="O85"/>
      <c r="P85"/>
      <c r="Q85"/>
      <c r="R85"/>
      <c r="S85"/>
      <c r="T85"/>
      <c r="U85"/>
      <c r="V85"/>
      <c r="W85"/>
      <c r="X85"/>
      <c r="Y85"/>
      <c r="Z85"/>
      <c r="AA85"/>
      <c r="AB85"/>
      <c r="AC85"/>
      <c r="AD85"/>
      <c r="AE85"/>
      <c r="AF85"/>
      <c r="AG85"/>
      <c r="AH85"/>
      <c r="AI85" s="67"/>
      <c r="AJ85" s="67"/>
      <c r="AK85" s="67"/>
    </row>
    <row r="86" spans="1:40" s="45" customFormat="1" ht="14.25" customHeight="1">
      <c r="A86"/>
      <c r="B86"/>
      <c r="C86"/>
      <c r="D86"/>
      <c r="E86"/>
      <c r="F86"/>
      <c r="G86"/>
      <c r="H86"/>
      <c r="I86"/>
      <c r="J86"/>
      <c r="K86"/>
      <c r="L86"/>
      <c r="M86"/>
      <c r="N86"/>
      <c r="O86"/>
      <c r="P86"/>
      <c r="Q86"/>
      <c r="R86"/>
      <c r="S86"/>
      <c r="T86"/>
      <c r="U86"/>
      <c r="V86"/>
      <c r="W86"/>
      <c r="X86"/>
      <c r="Y86"/>
      <c r="Z86"/>
      <c r="AA86"/>
      <c r="AB86"/>
      <c r="AC86"/>
      <c r="AD86"/>
      <c r="AE86"/>
      <c r="AF86"/>
      <c r="AG86"/>
      <c r="AH86"/>
      <c r="AI86" s="67"/>
      <c r="AJ86" s="67"/>
      <c r="AK86" s="67"/>
    </row>
    <row r="87" spans="1:40" s="45" customFormat="1" ht="14.25" customHeight="1">
      <c r="A87"/>
      <c r="B87"/>
      <c r="C87"/>
      <c r="D87"/>
      <c r="E87"/>
      <c r="F87"/>
      <c r="G87"/>
      <c r="H87"/>
      <c r="I87"/>
      <c r="J87"/>
      <c r="K87"/>
      <c r="L87"/>
      <c r="M87"/>
      <c r="N87"/>
      <c r="O87"/>
      <c r="P87"/>
      <c r="Q87"/>
      <c r="R87"/>
      <c r="S87"/>
      <c r="T87"/>
      <c r="U87"/>
      <c r="V87"/>
      <c r="W87"/>
      <c r="X87"/>
      <c r="Y87"/>
      <c r="Z87"/>
      <c r="AA87"/>
      <c r="AB87"/>
      <c r="AC87"/>
      <c r="AD87"/>
      <c r="AE87"/>
      <c r="AF87"/>
      <c r="AG87"/>
      <c r="AH87"/>
      <c r="AI87" s="67"/>
      <c r="AJ87" s="67"/>
      <c r="AK87" s="67"/>
    </row>
    <row r="88" spans="1:40" s="45" customFormat="1" ht="14.25" customHeight="1">
      <c r="A88"/>
      <c r="B88"/>
      <c r="C88"/>
      <c r="D88"/>
      <c r="E88"/>
      <c r="F88"/>
      <c r="G88"/>
      <c r="H88"/>
      <c r="I88"/>
      <c r="J88"/>
      <c r="K88"/>
      <c r="L88"/>
      <c r="M88"/>
      <c r="N88"/>
      <c r="O88"/>
      <c r="P88"/>
      <c r="Q88"/>
      <c r="R88"/>
      <c r="S88"/>
      <c r="T88"/>
      <c r="U88"/>
      <c r="V88"/>
      <c r="W88"/>
      <c r="X88"/>
      <c r="Y88"/>
      <c r="Z88"/>
      <c r="AA88"/>
      <c r="AB88"/>
      <c r="AC88"/>
      <c r="AD88"/>
      <c r="AE88"/>
      <c r="AF88"/>
      <c r="AG88"/>
      <c r="AH88"/>
      <c r="AI88" s="67"/>
      <c r="AJ88" s="67"/>
      <c r="AK88" s="67"/>
    </row>
    <row r="89" spans="1:40" s="45" customFormat="1" ht="14.25" customHeight="1">
      <c r="A89"/>
      <c r="B89"/>
      <c r="C89"/>
      <c r="D89"/>
      <c r="E89"/>
      <c r="F89"/>
      <c r="G89"/>
      <c r="H89"/>
      <c r="I89"/>
      <c r="J89"/>
      <c r="K89"/>
      <c r="L89"/>
      <c r="M89"/>
      <c r="N89"/>
      <c r="O89"/>
      <c r="P89"/>
      <c r="Q89"/>
      <c r="R89"/>
      <c r="S89"/>
      <c r="T89"/>
      <c r="U89"/>
      <c r="V89"/>
      <c r="W89"/>
      <c r="X89"/>
      <c r="Y89"/>
      <c r="Z89"/>
      <c r="AA89"/>
      <c r="AB89"/>
      <c r="AC89"/>
      <c r="AD89"/>
      <c r="AE89"/>
      <c r="AF89"/>
      <c r="AG89"/>
      <c r="AH89"/>
      <c r="AI89" s="67"/>
      <c r="AJ89" s="67"/>
      <c r="AK89" s="67"/>
    </row>
    <row r="90" spans="1:40" s="45" customFormat="1" ht="14.25" customHeight="1">
      <c r="A90"/>
      <c r="B90"/>
      <c r="C90"/>
      <c r="D90"/>
      <c r="E90"/>
      <c r="F90"/>
      <c r="G90"/>
      <c r="H90"/>
      <c r="I90"/>
      <c r="J90"/>
      <c r="K90"/>
      <c r="L90"/>
      <c r="M90"/>
      <c r="N90"/>
      <c r="O90"/>
      <c r="P90"/>
      <c r="Q90"/>
      <c r="R90"/>
      <c r="S90"/>
      <c r="T90"/>
      <c r="U90"/>
      <c r="V90"/>
      <c r="W90"/>
      <c r="X90"/>
      <c r="Y90"/>
      <c r="Z90"/>
      <c r="AA90"/>
      <c r="AB90"/>
      <c r="AC90"/>
      <c r="AD90"/>
      <c r="AE90"/>
      <c r="AF90"/>
      <c r="AG90"/>
      <c r="AH90"/>
      <c r="AI90" s="67"/>
      <c r="AJ90" s="67"/>
      <c r="AK90" s="67"/>
    </row>
    <row r="91" spans="1:40" s="45" customFormat="1" ht="14.25" customHeight="1">
      <c r="A91"/>
      <c r="B91"/>
      <c r="C91"/>
      <c r="D91"/>
      <c r="E91"/>
      <c r="F91"/>
      <c r="G91"/>
      <c r="H91"/>
      <c r="I91"/>
      <c r="J91"/>
      <c r="K91"/>
      <c r="L91"/>
      <c r="M91"/>
      <c r="N91"/>
      <c r="O91"/>
      <c r="P91"/>
      <c r="Q91"/>
      <c r="R91"/>
      <c r="S91"/>
      <c r="T91"/>
      <c r="U91"/>
      <c r="V91"/>
      <c r="W91"/>
      <c r="X91"/>
      <c r="Y91"/>
      <c r="Z91"/>
      <c r="AA91"/>
      <c r="AB91"/>
      <c r="AC91"/>
      <c r="AD91"/>
      <c r="AE91"/>
      <c r="AF91"/>
      <c r="AG91"/>
      <c r="AH91"/>
      <c r="AI91" s="67"/>
      <c r="AJ91" s="67"/>
      <c r="AK91" s="67"/>
    </row>
    <row r="92" spans="1:40" s="45" customFormat="1" ht="14.25" customHeight="1">
      <c r="A92"/>
      <c r="B92"/>
      <c r="C92"/>
      <c r="D92"/>
      <c r="E92"/>
      <c r="F92"/>
      <c r="G92"/>
      <c r="H92"/>
      <c r="I92"/>
      <c r="J92"/>
      <c r="K92"/>
      <c r="L92"/>
      <c r="M92"/>
      <c r="N92"/>
      <c r="O92"/>
      <c r="P92"/>
      <c r="Q92"/>
      <c r="R92"/>
      <c r="S92"/>
      <c r="T92"/>
      <c r="U92"/>
      <c r="V92"/>
      <c r="W92"/>
      <c r="X92"/>
      <c r="Y92"/>
      <c r="Z92"/>
      <c r="AA92"/>
      <c r="AB92"/>
      <c r="AC92"/>
      <c r="AD92"/>
      <c r="AE92"/>
      <c r="AF92"/>
      <c r="AG92"/>
      <c r="AH92"/>
      <c r="AI92" s="67"/>
      <c r="AJ92" s="67"/>
      <c r="AK92" s="67"/>
    </row>
    <row r="93" spans="1:40" ht="7.5" customHeight="1"/>
    <row r="95" spans="1:40" ht="18" customHeight="1"/>
    <row r="96" spans="1:40" ht="24" customHeight="1"/>
  </sheetData>
  <sheetProtection algorithmName="SHA-512" hashValue="REJwUljguWGYyCxp9/WxzjB1n50vqxi5rU8cM9g4TGSjpEBRM41AoG2CQPvDYzl58aNLw4wR4wWO9dct5iKIkw==" saltValue="MtTza/4evreTpJj7BZbYEw==" spinCount="100000" sheet="1" scenarios="1" formatCells="0" formatColumns="0" formatRows="0" insertColumns="0" insertRows="0" deleteColumns="0" deleteRows="0" selectLockedCells="1"/>
  <mergeCells count="113">
    <mergeCell ref="U1:AF3"/>
    <mergeCell ref="U4:X4"/>
    <mergeCell ref="U5:Y5"/>
    <mergeCell ref="Z5:AN5"/>
    <mergeCell ref="B11:AN11"/>
    <mergeCell ref="B13:AN13"/>
    <mergeCell ref="V14:AH14"/>
    <mergeCell ref="A6:T9"/>
    <mergeCell ref="AI14:AN14"/>
    <mergeCell ref="K14:P14"/>
    <mergeCell ref="A14:J14"/>
    <mergeCell ref="K27:P27"/>
    <mergeCell ref="A27:J27"/>
    <mergeCell ref="A25:K25"/>
    <mergeCell ref="AC32:AN32"/>
    <mergeCell ref="A29:J29"/>
    <mergeCell ref="V22:AH22"/>
    <mergeCell ref="G33:L34"/>
    <mergeCell ref="M33:AB33"/>
    <mergeCell ref="AC33:AN33"/>
    <mergeCell ref="M34:AB35"/>
    <mergeCell ref="AC34:AN35"/>
    <mergeCell ref="AC43:AN43"/>
    <mergeCell ref="A39:F39"/>
    <mergeCell ref="A43:F43"/>
    <mergeCell ref="G39:L39"/>
    <mergeCell ref="G40:L40"/>
    <mergeCell ref="M39:AB39"/>
    <mergeCell ref="Y4:AN4"/>
    <mergeCell ref="U6:AN6"/>
    <mergeCell ref="U7:AN7"/>
    <mergeCell ref="U8:AN8"/>
    <mergeCell ref="U9:AN9"/>
    <mergeCell ref="B15:AN15"/>
    <mergeCell ref="A4:F4"/>
    <mergeCell ref="G4:T4"/>
    <mergeCell ref="A16:J16"/>
    <mergeCell ref="R22:U22"/>
    <mergeCell ref="A33:F33"/>
    <mergeCell ref="G32:L32"/>
    <mergeCell ref="M32:AB32"/>
    <mergeCell ref="V27:AH27"/>
    <mergeCell ref="K29:P29"/>
    <mergeCell ref="A20:G20"/>
    <mergeCell ref="K22:P22"/>
    <mergeCell ref="A22:J22"/>
    <mergeCell ref="M66:AB66"/>
    <mergeCell ref="G51:L52"/>
    <mergeCell ref="A44:F44"/>
    <mergeCell ref="A47:F47"/>
    <mergeCell ref="A48:F48"/>
    <mergeCell ref="G47:L47"/>
    <mergeCell ref="G69:L70"/>
    <mergeCell ref="G53:L53"/>
    <mergeCell ref="G43:L43"/>
    <mergeCell ref="M43:AB43"/>
    <mergeCell ref="M60:AB60"/>
    <mergeCell ref="AC60:AN60"/>
    <mergeCell ref="G62:L62"/>
    <mergeCell ref="M62:AB62"/>
    <mergeCell ref="AC61:AN61"/>
    <mergeCell ref="G60:L61"/>
    <mergeCell ref="M61:AB61"/>
    <mergeCell ref="AC62:AN62"/>
    <mergeCell ref="M65:AB65"/>
    <mergeCell ref="U76:AD76"/>
    <mergeCell ref="B79:F80"/>
    <mergeCell ref="Q14:U14"/>
    <mergeCell ref="Q27:U27"/>
    <mergeCell ref="G71:L71"/>
    <mergeCell ref="M70:AB70"/>
    <mergeCell ref="AC70:AN70"/>
    <mergeCell ref="M44:AB44"/>
    <mergeCell ref="G44:L44"/>
    <mergeCell ref="AC44:AN44"/>
    <mergeCell ref="M52:AB52"/>
    <mergeCell ref="AC65:AN65"/>
    <mergeCell ref="AC66:AN66"/>
    <mergeCell ref="M47:AB47"/>
    <mergeCell ref="M51:AB51"/>
    <mergeCell ref="AC51:AN51"/>
    <mergeCell ref="G56:L56"/>
    <mergeCell ref="M56:AB56"/>
    <mergeCell ref="AC56:AN56"/>
    <mergeCell ref="M69:AB69"/>
    <mergeCell ref="AC69:AN69"/>
    <mergeCell ref="N76:S76"/>
    <mergeCell ref="A34:F34"/>
    <mergeCell ref="G65:L66"/>
    <mergeCell ref="L81:U81"/>
    <mergeCell ref="A69:F71"/>
    <mergeCell ref="A65:F65"/>
    <mergeCell ref="A66:F67"/>
    <mergeCell ref="A5:H5"/>
    <mergeCell ref="I5:T5"/>
    <mergeCell ref="G57:L57"/>
    <mergeCell ref="M57:AB57"/>
    <mergeCell ref="A60:F60"/>
    <mergeCell ref="M40:AB40"/>
    <mergeCell ref="V16:AH16"/>
    <mergeCell ref="R16:U16"/>
    <mergeCell ref="K16:P16"/>
    <mergeCell ref="AC47:AN47"/>
    <mergeCell ref="G48:L48"/>
    <mergeCell ref="M48:AB48"/>
    <mergeCell ref="AC48:AN48"/>
    <mergeCell ref="AC39:AN40"/>
    <mergeCell ref="A35:F35"/>
    <mergeCell ref="G35:L35"/>
    <mergeCell ref="A12:O12"/>
    <mergeCell ref="B81:F81"/>
    <mergeCell ref="I79:AB80"/>
    <mergeCell ref="G76:L76"/>
  </mergeCells>
  <printOptions horizontalCentered="1"/>
  <pageMargins left="0.6692913385826772" right="0.43307086614173229" top="0.86614173228346458" bottom="0.35433070866141736" header="0.31496062992125984" footer="0.23622047244094491"/>
  <pageSetup paperSize="9" scale="67" orientation="portrait" r:id="rId1"/>
  <headerFooter>
    <oddHeader>&amp;R&amp;G</oddHeader>
    <oddFooter>&amp;LMHG-PU-F-0018&amp;CPPAP Template ; Rev.: 01/2019&amp;RJ.-U. Liedtke / PU-SD-GA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BA100"/>
  <sheetViews>
    <sheetView showGridLines="0" zoomScaleNormal="100" workbookViewId="0">
      <selection activeCell="H4" sqref="H4:T4"/>
    </sheetView>
  </sheetViews>
  <sheetFormatPr baseColWidth="10" defaultColWidth="1.42578125" defaultRowHeight="12.75"/>
  <cols>
    <col min="1" max="2" width="0.7109375" customWidth="1"/>
    <col min="3" max="3" width="3.42578125" customWidth="1"/>
    <col min="4" max="4" width="0.7109375" customWidth="1"/>
    <col min="5" max="6" width="4.42578125" customWidth="1"/>
    <col min="7" max="7" width="2.42578125" customWidth="1"/>
    <col min="8" max="8" width="1.85546875" customWidth="1"/>
    <col min="9" max="9" width="5.28515625" customWidth="1"/>
    <col min="10" max="10" width="8.140625" customWidth="1"/>
    <col min="11" max="11" width="2.7109375" customWidth="1"/>
    <col min="12" max="12" width="4" customWidth="1"/>
    <col min="13" max="14" width="3.42578125" customWidth="1"/>
    <col min="15" max="15" width="2.7109375" customWidth="1"/>
    <col min="16" max="17" width="2.85546875" customWidth="1"/>
    <col min="18" max="18" width="3.42578125" customWidth="1"/>
    <col min="19" max="19" width="3.7109375" customWidth="1"/>
    <col min="20" max="20" width="5.42578125" customWidth="1"/>
    <col min="21" max="21" width="5" customWidth="1"/>
    <col min="22" max="22" width="2.7109375" customWidth="1"/>
    <col min="23" max="23" width="3.42578125" customWidth="1"/>
    <col min="24" max="24" width="4" customWidth="1"/>
    <col min="25" max="25" width="4.140625" customWidth="1"/>
    <col min="26" max="26" width="3.42578125" customWidth="1"/>
    <col min="27" max="27" width="1.42578125" customWidth="1"/>
    <col min="28" max="28" width="4.140625" customWidth="1"/>
    <col min="29" max="29" width="4.42578125" customWidth="1"/>
    <col min="30" max="30" width="3.42578125" customWidth="1"/>
    <col min="31" max="31" width="3" customWidth="1"/>
    <col min="32" max="32" width="7.85546875" customWidth="1"/>
    <col min="33" max="33" width="4.7109375" customWidth="1"/>
    <col min="34" max="34" width="10.140625" customWidth="1"/>
  </cols>
  <sheetData>
    <row r="1" spans="1:53" ht="12.75" customHeight="1">
      <c r="A1" s="32"/>
      <c r="B1" s="32"/>
      <c r="C1" s="109"/>
      <c r="D1" s="109"/>
      <c r="E1" s="109"/>
      <c r="F1" s="109"/>
      <c r="G1" s="109"/>
      <c r="H1" s="109"/>
      <c r="I1" s="109"/>
      <c r="J1" s="109"/>
      <c r="K1" s="109"/>
      <c r="L1" s="109"/>
      <c r="M1" s="109"/>
      <c r="N1" s="109"/>
      <c r="O1" s="109"/>
      <c r="P1" s="109"/>
      <c r="Q1" s="109"/>
      <c r="R1" s="109"/>
      <c r="S1" s="251"/>
      <c r="T1" s="251"/>
      <c r="U1" s="1079" t="str">
        <f>VLOOKUP("ppaptoollist",Translations!$A:$T,MATCH(PSW!AO7,Translations!A1:P1,0),0)</f>
        <v>Production Part Approval
Tooling List</v>
      </c>
      <c r="V1" s="1079"/>
      <c r="W1" s="1079"/>
      <c r="X1" s="1079"/>
      <c r="Y1" s="1079"/>
      <c r="Z1" s="1079"/>
      <c r="AA1" s="1079"/>
      <c r="AB1" s="1079"/>
      <c r="AC1" s="1079"/>
      <c r="AD1" s="1079"/>
      <c r="AE1" s="1079"/>
      <c r="AF1" s="1079"/>
      <c r="AG1" s="251"/>
      <c r="AH1" s="251"/>
      <c r="AI1" s="32"/>
      <c r="AJ1" s="32"/>
      <c r="AK1" s="32"/>
      <c r="AL1" s="32"/>
      <c r="AM1" s="32"/>
      <c r="AN1" s="32"/>
      <c r="AO1" s="32"/>
      <c r="AP1" s="32"/>
      <c r="AQ1" s="32"/>
      <c r="AR1" s="32"/>
      <c r="AS1" s="32"/>
      <c r="AT1" s="32"/>
      <c r="AU1" s="32"/>
      <c r="AV1" s="32"/>
      <c r="AW1" s="32"/>
      <c r="AX1" s="32"/>
      <c r="AY1" s="32"/>
      <c r="AZ1" s="32"/>
      <c r="BA1" s="32"/>
    </row>
    <row r="2" spans="1:53" ht="12.75" customHeight="1">
      <c r="A2" s="32"/>
      <c r="B2" s="32"/>
      <c r="C2" s="109"/>
      <c r="D2" s="109"/>
      <c r="E2" s="109"/>
      <c r="F2" s="109"/>
      <c r="G2" s="109"/>
      <c r="H2" s="109"/>
      <c r="I2" s="109"/>
      <c r="J2" s="109"/>
      <c r="K2" s="109"/>
      <c r="L2" s="109"/>
      <c r="M2" s="109"/>
      <c r="N2" s="109"/>
      <c r="O2" s="109"/>
      <c r="P2" s="109"/>
      <c r="Q2" s="109"/>
      <c r="R2" s="109"/>
      <c r="S2" s="251"/>
      <c r="T2" s="251"/>
      <c r="U2" s="1079"/>
      <c r="V2" s="1079"/>
      <c r="W2" s="1079"/>
      <c r="X2" s="1079"/>
      <c r="Y2" s="1079"/>
      <c r="Z2" s="1079"/>
      <c r="AA2" s="1079"/>
      <c r="AB2" s="1079"/>
      <c r="AC2" s="1079"/>
      <c r="AD2" s="1079"/>
      <c r="AE2" s="1079"/>
      <c r="AF2" s="1079"/>
      <c r="AG2" s="251"/>
      <c r="AH2" s="251"/>
      <c r="AI2" s="32"/>
      <c r="AJ2" s="32"/>
      <c r="AK2" s="32"/>
      <c r="AL2" s="32"/>
      <c r="AM2" s="32"/>
      <c r="AN2" s="32"/>
      <c r="AO2" s="32"/>
      <c r="AP2" s="32"/>
      <c r="AQ2" s="32"/>
      <c r="AR2" s="32"/>
      <c r="AS2" s="32"/>
      <c r="AT2" s="32"/>
      <c r="AU2" s="32"/>
      <c r="AV2" s="32"/>
      <c r="AW2" s="32"/>
      <c r="AX2" s="32"/>
      <c r="AY2" s="32"/>
      <c r="AZ2" s="32"/>
      <c r="BA2" s="32"/>
    </row>
    <row r="3" spans="1:53" ht="13.5" customHeight="1" thickBot="1">
      <c r="A3" s="32"/>
      <c r="B3" s="32"/>
      <c r="C3" s="252"/>
      <c r="D3" s="252"/>
      <c r="E3" s="252"/>
      <c r="F3" s="252"/>
      <c r="G3" s="252"/>
      <c r="H3" s="252"/>
      <c r="I3" s="252"/>
      <c r="J3" s="252"/>
      <c r="K3" s="252"/>
      <c r="L3" s="252"/>
      <c r="M3" s="252"/>
      <c r="N3" s="252"/>
      <c r="O3" s="252"/>
      <c r="P3" s="252"/>
      <c r="Q3" s="252"/>
      <c r="R3" s="252"/>
      <c r="S3" s="253"/>
      <c r="T3" s="253"/>
      <c r="U3" s="1080"/>
      <c r="V3" s="1080"/>
      <c r="W3" s="1080"/>
      <c r="X3" s="1080"/>
      <c r="Y3" s="1080"/>
      <c r="Z3" s="1080"/>
      <c r="AA3" s="1080"/>
      <c r="AB3" s="1080"/>
      <c r="AC3" s="1080"/>
      <c r="AD3" s="1080"/>
      <c r="AE3" s="1080"/>
      <c r="AF3" s="1080"/>
      <c r="AG3" s="253"/>
      <c r="AH3" s="253"/>
      <c r="AI3" s="32"/>
      <c r="AJ3" s="32"/>
      <c r="AK3" s="32"/>
      <c r="AL3" s="32"/>
      <c r="AM3" s="32"/>
      <c r="AN3" s="32"/>
      <c r="AO3" s="32"/>
      <c r="AP3" s="32"/>
      <c r="AQ3" s="32"/>
      <c r="AR3" s="32"/>
      <c r="AS3" s="32"/>
      <c r="AT3" s="32"/>
      <c r="AU3" s="32"/>
      <c r="AV3" s="32"/>
      <c r="AW3" s="32"/>
      <c r="AX3" s="32"/>
      <c r="AY3" s="32"/>
      <c r="AZ3" s="32"/>
      <c r="BA3" s="32"/>
    </row>
    <row r="4" spans="1:53" ht="13.5" customHeight="1">
      <c r="A4" s="1081" t="str">
        <f>'MAT Test'!A4</f>
        <v>ORGANIZATION:</v>
      </c>
      <c r="B4" s="1082"/>
      <c r="C4" s="1082"/>
      <c r="D4" s="1082"/>
      <c r="E4" s="1082"/>
      <c r="F4" s="1082"/>
      <c r="G4" s="1082"/>
      <c r="H4" s="569" t="str">
        <f>Content!H4</f>
        <v>?</v>
      </c>
      <c r="I4" s="569"/>
      <c r="J4" s="569"/>
      <c r="K4" s="569"/>
      <c r="L4" s="569"/>
      <c r="M4" s="569"/>
      <c r="N4" s="569"/>
      <c r="O4" s="569"/>
      <c r="P4" s="569"/>
      <c r="Q4" s="569"/>
      <c r="R4" s="569"/>
      <c r="S4" s="569"/>
      <c r="T4" s="570"/>
      <c r="U4" s="1083" t="str">
        <f>'MAT Test'!R4</f>
        <v>PART NUMBER:</v>
      </c>
      <c r="V4" s="1084"/>
      <c r="W4" s="1084"/>
      <c r="X4" s="1084"/>
      <c r="Y4" s="569" t="str">
        <f>'DIM Test'!X4</f>
        <v>?</v>
      </c>
      <c r="Z4" s="569"/>
      <c r="AA4" s="569"/>
      <c r="AB4" s="569"/>
      <c r="AC4" s="569"/>
      <c r="AD4" s="569"/>
      <c r="AE4" s="569"/>
      <c r="AF4" s="569"/>
      <c r="AG4" s="569"/>
      <c r="AH4" s="570"/>
      <c r="AI4" s="32"/>
      <c r="AJ4" s="32"/>
      <c r="AK4" s="32"/>
      <c r="AL4" s="32"/>
      <c r="AM4" s="32"/>
      <c r="AN4" s="32"/>
      <c r="AO4" s="32"/>
      <c r="AP4" s="32"/>
      <c r="AQ4" s="32"/>
      <c r="AR4" s="32"/>
      <c r="AS4" s="32"/>
      <c r="AT4" s="32"/>
      <c r="AU4" s="32"/>
      <c r="AV4" s="32"/>
      <c r="AW4" s="32"/>
      <c r="AX4" s="32"/>
      <c r="AY4" s="32"/>
      <c r="AZ4" s="32"/>
      <c r="BA4" s="32"/>
    </row>
    <row r="5" spans="1:53" ht="13.5" customHeight="1">
      <c r="A5" s="1085" t="str">
        <f>'MAT Test'!A5</f>
        <v>SUPPLIER / VENDOR CODE:</v>
      </c>
      <c r="B5" s="1086"/>
      <c r="C5" s="1086"/>
      <c r="D5" s="1086"/>
      <c r="E5" s="1086"/>
      <c r="F5" s="1086"/>
      <c r="G5" s="1086"/>
      <c r="H5" s="1086"/>
      <c r="I5" s="1086"/>
      <c r="J5" s="1086"/>
      <c r="K5" s="536" t="str">
        <f>'DIM Test'!I5</f>
        <v>?</v>
      </c>
      <c r="L5" s="536"/>
      <c r="M5" s="536"/>
      <c r="N5" s="536"/>
      <c r="O5" s="536"/>
      <c r="P5" s="536"/>
      <c r="Q5" s="536"/>
      <c r="R5" s="536"/>
      <c r="S5" s="536"/>
      <c r="T5" s="537"/>
      <c r="U5" s="1076" t="str">
        <f>'MAT Test'!R5</f>
        <v>PART NAME:</v>
      </c>
      <c r="V5" s="1077"/>
      <c r="W5" s="1077"/>
      <c r="X5" s="1077"/>
      <c r="Y5" s="1077"/>
      <c r="Z5" s="536" t="str">
        <f>'DIM Test'!Y5</f>
        <v>?</v>
      </c>
      <c r="AA5" s="536"/>
      <c r="AB5" s="536"/>
      <c r="AC5" s="536"/>
      <c r="AD5" s="536"/>
      <c r="AE5" s="536"/>
      <c r="AF5" s="536"/>
      <c r="AG5" s="536"/>
      <c r="AH5" s="537"/>
      <c r="AI5" s="32"/>
      <c r="AJ5" s="32"/>
      <c r="AK5" s="32"/>
      <c r="AL5" s="32"/>
      <c r="AM5" s="32"/>
      <c r="AN5" s="32"/>
      <c r="AO5" s="32"/>
      <c r="AP5" s="32"/>
      <c r="AQ5" s="32"/>
      <c r="AR5" s="32"/>
      <c r="AS5" s="32"/>
      <c r="AT5" s="32"/>
      <c r="AU5" s="32"/>
      <c r="AV5" s="32"/>
      <c r="AW5" s="32"/>
      <c r="AX5" s="32"/>
      <c r="AY5" s="32"/>
      <c r="AZ5" s="32"/>
      <c r="BA5" s="32"/>
    </row>
    <row r="6" spans="1:53" ht="13.5" customHeight="1">
      <c r="A6" s="1070"/>
      <c r="B6" s="1071"/>
      <c r="C6" s="1071"/>
      <c r="D6" s="1071"/>
      <c r="E6" s="1071"/>
      <c r="F6" s="1071"/>
      <c r="G6" s="1071"/>
      <c r="H6" s="1071"/>
      <c r="I6" s="1071"/>
      <c r="J6" s="1071"/>
      <c r="K6" s="1071"/>
      <c r="L6" s="1071"/>
      <c r="M6" s="1071"/>
      <c r="N6" s="1071"/>
      <c r="O6" s="1071"/>
      <c r="P6" s="1071"/>
      <c r="Q6" s="1071"/>
      <c r="R6" s="1071"/>
      <c r="S6" s="1071"/>
      <c r="T6" s="1072"/>
      <c r="U6" s="1076" t="str">
        <f>'MAT Test'!R6</f>
        <v>DESIGN RECORD CHANGE LEVEL:</v>
      </c>
      <c r="V6" s="1077"/>
      <c r="W6" s="1077"/>
      <c r="X6" s="1077"/>
      <c r="Y6" s="1077"/>
      <c r="Z6" s="1077"/>
      <c r="AA6" s="1077"/>
      <c r="AB6" s="1077"/>
      <c r="AC6" s="1077"/>
      <c r="AD6" s="1077"/>
      <c r="AE6" s="1077"/>
      <c r="AF6" s="1077"/>
      <c r="AG6" s="1077"/>
      <c r="AH6" s="1078"/>
      <c r="AI6" s="32"/>
      <c r="AJ6" s="32"/>
      <c r="AK6" s="32"/>
      <c r="AL6" s="32"/>
      <c r="AM6" s="32"/>
      <c r="AN6" s="32"/>
      <c r="AO6" s="32"/>
      <c r="AP6" s="32"/>
      <c r="AQ6" s="32"/>
      <c r="AR6" s="32"/>
      <c r="AS6" s="32"/>
      <c r="AT6" s="32"/>
      <c r="AU6" s="32"/>
      <c r="AV6" s="32"/>
      <c r="AW6" s="32"/>
      <c r="AX6" s="32"/>
      <c r="AY6" s="32"/>
      <c r="AZ6" s="32"/>
      <c r="BA6" s="32"/>
    </row>
    <row r="7" spans="1:53" ht="13.5" customHeight="1">
      <c r="A7" s="1073"/>
      <c r="B7" s="1074"/>
      <c r="C7" s="1074"/>
      <c r="D7" s="1074"/>
      <c r="E7" s="1074"/>
      <c r="F7" s="1074"/>
      <c r="G7" s="1074"/>
      <c r="H7" s="1074"/>
      <c r="I7" s="1074"/>
      <c r="J7" s="1074"/>
      <c r="K7" s="1074"/>
      <c r="L7" s="1074"/>
      <c r="M7" s="1074"/>
      <c r="N7" s="1074"/>
      <c r="O7" s="1074"/>
      <c r="P7" s="1074"/>
      <c r="Q7" s="1074"/>
      <c r="R7" s="1074"/>
      <c r="S7" s="1074"/>
      <c r="T7" s="1075"/>
      <c r="U7" s="565" t="str">
        <f>'DIM Test'!S7</f>
        <v>?</v>
      </c>
      <c r="V7" s="599"/>
      <c r="W7" s="599"/>
      <c r="X7" s="599"/>
      <c r="Y7" s="599"/>
      <c r="Z7" s="599"/>
      <c r="AA7" s="599"/>
      <c r="AB7" s="599"/>
      <c r="AC7" s="599"/>
      <c r="AD7" s="599"/>
      <c r="AE7" s="599"/>
      <c r="AF7" s="599"/>
      <c r="AG7" s="599"/>
      <c r="AH7" s="600"/>
      <c r="AI7" s="32"/>
      <c r="AJ7" s="32"/>
      <c r="AK7" s="32"/>
      <c r="AL7" s="32"/>
      <c r="AM7" s="32"/>
      <c r="AN7" s="32"/>
      <c r="AO7" s="32"/>
      <c r="AP7" s="32"/>
      <c r="AQ7" s="32"/>
      <c r="AR7" s="32"/>
      <c r="AS7" s="32"/>
      <c r="AT7" s="32"/>
      <c r="AU7" s="32"/>
      <c r="AV7" s="32"/>
      <c r="AW7" s="32"/>
      <c r="AX7" s="32"/>
      <c r="AY7" s="32"/>
      <c r="AZ7" s="32"/>
      <c r="BA7" s="32"/>
    </row>
    <row r="8" spans="1:53" ht="13.5" customHeight="1">
      <c r="A8" s="1073"/>
      <c r="B8" s="1074"/>
      <c r="C8" s="1074"/>
      <c r="D8" s="1074"/>
      <c r="E8" s="1074"/>
      <c r="F8" s="1074"/>
      <c r="G8" s="1074"/>
      <c r="H8" s="1074"/>
      <c r="I8" s="1074"/>
      <c r="J8" s="1074"/>
      <c r="K8" s="1074"/>
      <c r="L8" s="1074"/>
      <c r="M8" s="1074"/>
      <c r="N8" s="1074"/>
      <c r="O8" s="1074"/>
      <c r="P8" s="1074"/>
      <c r="Q8" s="1074"/>
      <c r="R8" s="1074"/>
      <c r="S8" s="1074"/>
      <c r="T8" s="1075"/>
      <c r="U8" s="1076" t="str">
        <f>'MAT Test'!R8</f>
        <v>ENGINEERING CHANGE DOCUMENTS:</v>
      </c>
      <c r="V8" s="1077"/>
      <c r="W8" s="1077"/>
      <c r="X8" s="1077"/>
      <c r="Y8" s="1077"/>
      <c r="Z8" s="1077"/>
      <c r="AA8" s="1077"/>
      <c r="AB8" s="1077"/>
      <c r="AC8" s="1077"/>
      <c r="AD8" s="1077"/>
      <c r="AE8" s="1077"/>
      <c r="AF8" s="1077"/>
      <c r="AG8" s="1077"/>
      <c r="AH8" s="1078"/>
      <c r="AI8" s="32"/>
      <c r="AJ8" s="32"/>
      <c r="AK8" s="32"/>
      <c r="AL8" s="32"/>
      <c r="AM8" s="32"/>
      <c r="AN8" s="32"/>
      <c r="AO8" s="32"/>
      <c r="AP8" s="32"/>
      <c r="AQ8" s="32"/>
      <c r="AR8" s="32"/>
      <c r="AS8" s="32"/>
      <c r="AT8" s="32"/>
      <c r="AU8" s="32"/>
      <c r="AV8" s="32"/>
      <c r="AW8" s="32"/>
      <c r="AX8" s="32"/>
      <c r="AY8" s="32"/>
      <c r="AZ8" s="32"/>
      <c r="BA8" s="32"/>
    </row>
    <row r="9" spans="1:53" ht="13.5" customHeight="1">
      <c r="A9" s="1073"/>
      <c r="B9" s="1074"/>
      <c r="C9" s="1074"/>
      <c r="D9" s="1074"/>
      <c r="E9" s="1074"/>
      <c r="F9" s="1074"/>
      <c r="G9" s="1074"/>
      <c r="H9" s="1074"/>
      <c r="I9" s="1074"/>
      <c r="J9" s="1074"/>
      <c r="K9" s="1074"/>
      <c r="L9" s="1074"/>
      <c r="M9" s="1074"/>
      <c r="N9" s="1074"/>
      <c r="O9" s="1074"/>
      <c r="P9" s="1074"/>
      <c r="Q9" s="1074"/>
      <c r="R9" s="1074"/>
      <c r="S9" s="1074"/>
      <c r="T9" s="1075"/>
      <c r="U9" s="565" t="str">
        <f>'DIM Test'!S9</f>
        <v>?</v>
      </c>
      <c r="V9" s="599"/>
      <c r="W9" s="599"/>
      <c r="X9" s="599"/>
      <c r="Y9" s="599"/>
      <c r="Z9" s="599"/>
      <c r="AA9" s="599"/>
      <c r="AB9" s="599"/>
      <c r="AC9" s="599"/>
      <c r="AD9" s="599"/>
      <c r="AE9" s="599"/>
      <c r="AF9" s="599"/>
      <c r="AG9" s="599"/>
      <c r="AH9" s="600"/>
      <c r="AI9" s="32"/>
      <c r="AJ9" s="32"/>
      <c r="AK9" s="32"/>
      <c r="AL9" s="32"/>
      <c r="AM9" s="32"/>
      <c r="AN9" s="32"/>
      <c r="AO9" s="32"/>
      <c r="AP9" s="32"/>
      <c r="AQ9" s="32"/>
      <c r="AR9" s="32"/>
      <c r="AS9" s="32"/>
      <c r="AT9" s="32"/>
      <c r="AU9" s="32"/>
      <c r="AV9" s="32"/>
      <c r="AW9" s="32"/>
      <c r="AX9" s="32"/>
      <c r="AY9" s="32"/>
      <c r="AZ9" s="32"/>
      <c r="BA9" s="32"/>
    </row>
    <row r="10" spans="1:53" s="45" customFormat="1" ht="3.75" customHeight="1" thickBot="1">
      <c r="A10" s="403"/>
      <c r="B10" s="191"/>
      <c r="C10" s="191"/>
      <c r="D10" s="191"/>
      <c r="E10" s="191"/>
      <c r="F10" s="191"/>
      <c r="G10" s="191"/>
      <c r="H10" s="191"/>
      <c r="I10" s="191"/>
      <c r="J10" s="191"/>
      <c r="K10" s="191"/>
      <c r="L10" s="191"/>
      <c r="M10" s="191"/>
      <c r="N10" s="191"/>
      <c r="O10" s="191"/>
      <c r="P10" s="191"/>
      <c r="Q10" s="191"/>
      <c r="R10" s="191"/>
      <c r="S10" s="191"/>
      <c r="T10" s="402"/>
      <c r="U10" s="401"/>
      <c r="V10" s="191"/>
      <c r="W10" s="191"/>
      <c r="X10" s="191"/>
      <c r="Y10" s="191"/>
      <c r="Z10" s="191"/>
      <c r="AA10" s="191"/>
      <c r="AB10" s="191"/>
      <c r="AC10" s="191"/>
      <c r="AD10" s="191"/>
      <c r="AE10" s="191"/>
      <c r="AF10" s="191"/>
      <c r="AG10" s="191"/>
      <c r="AH10" s="402"/>
      <c r="AI10" s="241"/>
      <c r="AJ10" s="241"/>
      <c r="AK10" s="241"/>
      <c r="AL10" s="86"/>
      <c r="AM10" s="86"/>
      <c r="AN10" s="86"/>
      <c r="AO10" s="86"/>
      <c r="AP10" s="86"/>
      <c r="AQ10" s="86"/>
      <c r="AR10" s="86"/>
      <c r="AS10" s="86"/>
      <c r="AT10" s="86"/>
      <c r="AU10" s="86"/>
      <c r="AV10" s="86"/>
      <c r="AW10" s="86"/>
      <c r="AX10" s="86"/>
      <c r="AY10" s="86"/>
      <c r="AZ10" s="86"/>
      <c r="BA10" s="86"/>
    </row>
    <row r="11" spans="1:53" s="45" customFormat="1" ht="19.5" customHeight="1">
      <c r="A11" s="1056" t="str">
        <f>VLOOKUP("teilenummer",Translations!$A:$P,MATCH(PSW!AO7,Translations!A1:P1,0),0)</f>
        <v>PART NUMBER</v>
      </c>
      <c r="B11" s="1057"/>
      <c r="C11" s="1057"/>
      <c r="D11" s="1057"/>
      <c r="E11" s="1057"/>
      <c r="F11" s="1057"/>
      <c r="G11" s="1057"/>
      <c r="H11" s="1058"/>
      <c r="I11" s="1060" t="str">
        <f>VLOOKUP("change level",Translations!$A:$P,MATCH(PSW!AO7,Translations!A1:P1,0),0)</f>
        <v>CHANGE LEVEL</v>
      </c>
      <c r="J11" s="1061"/>
      <c r="K11" s="1064" t="str">
        <f>VLOOKUP("tool number",Translations!$A:$P,MATCH(PSW!AO7,Translations!A1:P1,0),0)</f>
        <v>TOOL NUMBER</v>
      </c>
      <c r="L11" s="1057"/>
      <c r="M11" s="1057"/>
      <c r="N11" s="1057"/>
      <c r="O11" s="1057"/>
      <c r="P11" s="1057"/>
      <c r="Q11" s="1058"/>
      <c r="R11" s="1060" t="str">
        <f>VLOOKUP("tool location",Translations!$A:$P,MATCH(PSW!AO7,Translations!A1:P1,0),0)</f>
        <v>TOOL LOCATION</v>
      </c>
      <c r="S11" s="1065"/>
      <c r="T11" s="1065"/>
      <c r="U11" s="1061"/>
      <c r="V11" s="1060" t="str">
        <f>VLOOKUP("quantity tools",Translations!$A:$P,MATCH(PSW!AO7,Translations!A1:P1,0),0)</f>
        <v>QUANT. OF TOOLS</v>
      </c>
      <c r="W11" s="1065"/>
      <c r="X11" s="1065"/>
      <c r="Y11" s="1060" t="str">
        <f>VLOOKUP("quantity nests",Translations!$A:$P,MATCH(PSW!AO7,Translations!A1:P1,0),0)</f>
        <v>QUANT. OF
NESTS / TOOL</v>
      </c>
      <c r="Z11" s="1065"/>
      <c r="AA11" s="1061"/>
      <c r="AB11" s="1060" t="str">
        <f>VLOOKUP("approval status",Translations!$A:$P,MATCH(PSW!AO7,Translations!A1:P1,0),0)</f>
        <v>APPRO-VAL STATUS</v>
      </c>
      <c r="AC11" s="1065"/>
      <c r="AD11" s="1060" t="str">
        <f>VLOOKUP("tool size",Translations!$A:$P,MATCH(PSW!AO7,Translations!A1:P1,0),0)</f>
        <v>TOOL SIZE</v>
      </c>
      <c r="AE11" s="1065"/>
      <c r="AF11" s="1065"/>
      <c r="AG11" s="1061"/>
      <c r="AH11" s="1054" t="str">
        <f>VLOOKUP("weight2",Translations!$A:$P,MATCH(PSW!AO7,Translations!A1:P1,0),0)</f>
        <v>WEIGHT</v>
      </c>
      <c r="AI11" s="68"/>
      <c r="AJ11" s="68"/>
      <c r="AK11" s="68"/>
      <c r="AL11" s="86"/>
      <c r="AM11" s="86"/>
      <c r="AN11" s="86"/>
      <c r="AO11" s="86"/>
      <c r="AP11" s="86"/>
      <c r="AQ11" s="86"/>
      <c r="AR11" s="86"/>
      <c r="AS11" s="86"/>
      <c r="AT11" s="86"/>
      <c r="AU11" s="86"/>
      <c r="AV11" s="86"/>
      <c r="AW11" s="86"/>
      <c r="AX11" s="86"/>
      <c r="AY11" s="86"/>
      <c r="AZ11" s="86"/>
      <c r="BA11" s="86"/>
    </row>
    <row r="12" spans="1:53" s="45" customFormat="1" ht="3.75" customHeight="1">
      <c r="A12" s="1059"/>
      <c r="B12" s="1052"/>
      <c r="C12" s="1052"/>
      <c r="D12" s="1052"/>
      <c r="E12" s="1052"/>
      <c r="F12" s="1052"/>
      <c r="G12" s="1052"/>
      <c r="H12" s="1053"/>
      <c r="I12" s="1062"/>
      <c r="J12" s="1063"/>
      <c r="K12" s="1051"/>
      <c r="L12" s="1052"/>
      <c r="M12" s="1052"/>
      <c r="N12" s="1052"/>
      <c r="O12" s="1052"/>
      <c r="P12" s="1052"/>
      <c r="Q12" s="1053"/>
      <c r="R12" s="1062"/>
      <c r="S12" s="1066"/>
      <c r="T12" s="1066"/>
      <c r="U12" s="1063"/>
      <c r="V12" s="1062"/>
      <c r="W12" s="1066"/>
      <c r="X12" s="1066"/>
      <c r="Y12" s="1062"/>
      <c r="Z12" s="1066"/>
      <c r="AA12" s="1063"/>
      <c r="AB12" s="1062"/>
      <c r="AC12" s="1066"/>
      <c r="AD12" s="1062"/>
      <c r="AE12" s="1066"/>
      <c r="AF12" s="1066"/>
      <c r="AG12" s="1063"/>
      <c r="AH12" s="1055"/>
      <c r="AI12" s="68"/>
      <c r="AJ12" s="68"/>
      <c r="AK12" s="68"/>
      <c r="AL12" s="86"/>
      <c r="AM12" s="86"/>
      <c r="AN12" s="86"/>
      <c r="AO12" s="86"/>
      <c r="AP12" s="86"/>
      <c r="AQ12" s="86"/>
      <c r="AR12" s="86"/>
      <c r="AS12" s="86"/>
      <c r="AT12" s="86"/>
      <c r="AU12" s="86"/>
      <c r="AV12" s="86"/>
      <c r="AW12" s="86"/>
      <c r="AX12" s="86"/>
      <c r="AY12" s="86"/>
      <c r="AZ12" s="86"/>
      <c r="BA12" s="86"/>
    </row>
    <row r="13" spans="1:53" s="45" customFormat="1" ht="3.75" customHeight="1">
      <c r="A13" s="1059"/>
      <c r="B13" s="1052"/>
      <c r="C13" s="1052"/>
      <c r="D13" s="1052"/>
      <c r="E13" s="1052"/>
      <c r="F13" s="1052"/>
      <c r="G13" s="1052"/>
      <c r="H13" s="1053"/>
      <c r="I13" s="1062"/>
      <c r="J13" s="1063"/>
      <c r="K13" s="1051"/>
      <c r="L13" s="1052"/>
      <c r="M13" s="1052"/>
      <c r="N13" s="1052"/>
      <c r="O13" s="1052"/>
      <c r="P13" s="1052"/>
      <c r="Q13" s="1053"/>
      <c r="R13" s="1062"/>
      <c r="S13" s="1066"/>
      <c r="T13" s="1066"/>
      <c r="U13" s="1063"/>
      <c r="V13" s="1062"/>
      <c r="W13" s="1066"/>
      <c r="X13" s="1066"/>
      <c r="Y13" s="1062"/>
      <c r="Z13" s="1066"/>
      <c r="AA13" s="1063"/>
      <c r="AB13" s="1062"/>
      <c r="AC13" s="1066"/>
      <c r="AD13" s="1051" t="str">
        <f>VLOOKUP("H*L*B",Translations!$A:$P,MATCH(PSW!AO7,Translations!A1:P1,0),0)</f>
        <v>(Height*Length*Width)</v>
      </c>
      <c r="AE13" s="1052"/>
      <c r="AF13" s="1052"/>
      <c r="AG13" s="1053"/>
      <c r="AH13" s="1055"/>
      <c r="AI13" s="68"/>
      <c r="AJ13" s="68"/>
      <c r="AK13" s="68"/>
      <c r="AL13" s="86"/>
      <c r="AM13" s="86"/>
      <c r="AN13" s="86"/>
      <c r="AO13" s="86"/>
      <c r="AP13" s="86"/>
      <c r="AQ13" s="86"/>
      <c r="AR13" s="86"/>
      <c r="AS13" s="86"/>
      <c r="AT13" s="86"/>
      <c r="AU13" s="86"/>
      <c r="AV13" s="86"/>
      <c r="AW13" s="86"/>
      <c r="AX13" s="86"/>
      <c r="AY13" s="86"/>
      <c r="AZ13" s="86"/>
      <c r="BA13" s="86"/>
    </row>
    <row r="14" spans="1:53" s="45" customFormat="1" ht="19.5" customHeight="1">
      <c r="A14" s="1059"/>
      <c r="B14" s="1052"/>
      <c r="C14" s="1052"/>
      <c r="D14" s="1052"/>
      <c r="E14" s="1052"/>
      <c r="F14" s="1052"/>
      <c r="G14" s="1052"/>
      <c r="H14" s="1053"/>
      <c r="I14" s="1062"/>
      <c r="J14" s="1063"/>
      <c r="K14" s="1051"/>
      <c r="L14" s="1052"/>
      <c r="M14" s="1052"/>
      <c r="N14" s="1052"/>
      <c r="O14" s="1052"/>
      <c r="P14" s="1052"/>
      <c r="Q14" s="1053"/>
      <c r="R14" s="1062"/>
      <c r="S14" s="1066"/>
      <c r="T14" s="1066"/>
      <c r="U14" s="1063"/>
      <c r="V14" s="1062"/>
      <c r="W14" s="1066"/>
      <c r="X14" s="1066"/>
      <c r="Y14" s="1062"/>
      <c r="Z14" s="1066"/>
      <c r="AA14" s="1063"/>
      <c r="AB14" s="1062"/>
      <c r="AC14" s="1066"/>
      <c r="AD14" s="1051"/>
      <c r="AE14" s="1052"/>
      <c r="AF14" s="1052"/>
      <c r="AG14" s="1053"/>
      <c r="AH14" s="1055"/>
      <c r="AI14" s="68"/>
      <c r="AJ14" s="69"/>
      <c r="AK14" s="69"/>
      <c r="AL14" s="86"/>
      <c r="AM14" s="86"/>
      <c r="AN14" s="86"/>
      <c r="AO14" s="86"/>
      <c r="AP14" s="86"/>
      <c r="AQ14" s="86"/>
      <c r="AR14" s="86"/>
      <c r="AS14" s="86"/>
      <c r="AT14" s="86"/>
      <c r="AU14" s="86"/>
      <c r="AV14" s="86"/>
      <c r="AW14" s="86"/>
      <c r="AX14" s="86"/>
      <c r="AY14" s="86"/>
      <c r="AZ14" s="86"/>
      <c r="BA14" s="86"/>
    </row>
    <row r="15" spans="1:53" ht="3.75" customHeight="1">
      <c r="A15" s="1059"/>
      <c r="B15" s="1052"/>
      <c r="C15" s="1052"/>
      <c r="D15" s="1052"/>
      <c r="E15" s="1052"/>
      <c r="F15" s="1052"/>
      <c r="G15" s="1052"/>
      <c r="H15" s="1053"/>
      <c r="I15" s="1062"/>
      <c r="J15" s="1063"/>
      <c r="K15" s="1051"/>
      <c r="L15" s="1052"/>
      <c r="M15" s="1052"/>
      <c r="N15" s="1052"/>
      <c r="O15" s="1052"/>
      <c r="P15" s="1052"/>
      <c r="Q15" s="1053"/>
      <c r="R15" s="1062"/>
      <c r="S15" s="1066"/>
      <c r="T15" s="1066"/>
      <c r="U15" s="1063"/>
      <c r="V15" s="1062"/>
      <c r="W15" s="1066"/>
      <c r="X15" s="1066"/>
      <c r="Y15" s="1062"/>
      <c r="Z15" s="1066"/>
      <c r="AA15" s="1063"/>
      <c r="AB15" s="1062"/>
      <c r="AC15" s="1066"/>
      <c r="AD15" s="254"/>
      <c r="AE15" s="255"/>
      <c r="AF15" s="255"/>
      <c r="AG15" s="256"/>
      <c r="AH15" s="1055"/>
      <c r="AI15" s="32"/>
      <c r="AJ15" s="32"/>
      <c r="AK15" s="32"/>
      <c r="AL15" s="32"/>
      <c r="AM15" s="32"/>
      <c r="AN15" s="32"/>
      <c r="AO15" s="32"/>
      <c r="AP15" s="32"/>
      <c r="AQ15" s="32"/>
      <c r="AR15" s="32"/>
      <c r="AS15" s="32"/>
      <c r="AT15" s="32"/>
      <c r="AU15" s="32"/>
      <c r="AV15" s="32"/>
      <c r="AW15" s="32"/>
      <c r="AX15" s="32"/>
      <c r="AY15" s="32"/>
      <c r="AZ15" s="32"/>
      <c r="BA15" s="32"/>
    </row>
    <row r="16" spans="1:53" ht="3.75" customHeight="1">
      <c r="A16" s="1059"/>
      <c r="B16" s="1052"/>
      <c r="C16" s="1052"/>
      <c r="D16" s="1052"/>
      <c r="E16" s="1052"/>
      <c r="F16" s="1052"/>
      <c r="G16" s="1052"/>
      <c r="H16" s="1053"/>
      <c r="I16" s="1062"/>
      <c r="J16" s="1063"/>
      <c r="K16" s="1051"/>
      <c r="L16" s="1052"/>
      <c r="M16" s="1052"/>
      <c r="N16" s="1052"/>
      <c r="O16" s="1052"/>
      <c r="P16" s="1052"/>
      <c r="Q16" s="1053"/>
      <c r="R16" s="1062"/>
      <c r="S16" s="1066"/>
      <c r="T16" s="1066"/>
      <c r="U16" s="1063"/>
      <c r="V16" s="1062"/>
      <c r="W16" s="1066"/>
      <c r="X16" s="1066"/>
      <c r="Y16" s="1062"/>
      <c r="Z16" s="1066"/>
      <c r="AA16" s="1063"/>
      <c r="AB16" s="1062"/>
      <c r="AC16" s="1066"/>
      <c r="AD16" s="254"/>
      <c r="AE16" s="255"/>
      <c r="AF16" s="255"/>
      <c r="AG16" s="256"/>
      <c r="AH16" s="1055"/>
      <c r="AI16" s="32"/>
      <c r="AJ16" s="32"/>
      <c r="AK16" s="32"/>
      <c r="AL16" s="32"/>
      <c r="AM16" s="32"/>
      <c r="AN16" s="32"/>
      <c r="AO16" s="32"/>
      <c r="AP16" s="32"/>
      <c r="AQ16" s="32"/>
      <c r="AR16" s="32"/>
      <c r="AS16" s="32"/>
      <c r="AT16" s="32"/>
      <c r="AU16" s="32"/>
      <c r="AV16" s="32"/>
      <c r="AW16" s="32"/>
      <c r="AX16" s="32"/>
      <c r="AY16" s="32"/>
      <c r="AZ16" s="32"/>
      <c r="BA16" s="32"/>
    </row>
    <row r="17" spans="1:53" s="45" customFormat="1" ht="19.5" customHeight="1" thickBot="1">
      <c r="A17" s="1059"/>
      <c r="B17" s="1052"/>
      <c r="C17" s="1052"/>
      <c r="D17" s="1052"/>
      <c r="E17" s="1052"/>
      <c r="F17" s="1052"/>
      <c r="G17" s="1052"/>
      <c r="H17" s="1053"/>
      <c r="I17" s="1062"/>
      <c r="J17" s="1063"/>
      <c r="K17" s="1051"/>
      <c r="L17" s="1052"/>
      <c r="M17" s="1052"/>
      <c r="N17" s="1052"/>
      <c r="O17" s="1052"/>
      <c r="P17" s="1052"/>
      <c r="Q17" s="1053"/>
      <c r="R17" s="1067"/>
      <c r="S17" s="1068"/>
      <c r="T17" s="1068"/>
      <c r="U17" s="1069"/>
      <c r="V17" s="1062"/>
      <c r="W17" s="1066"/>
      <c r="X17" s="1066"/>
      <c r="Y17" s="1062"/>
      <c r="Z17" s="1066"/>
      <c r="AA17" s="1063"/>
      <c r="AB17" s="1062"/>
      <c r="AC17" s="1066"/>
      <c r="AD17" s="254"/>
      <c r="AE17" s="255"/>
      <c r="AF17" s="255"/>
      <c r="AG17" s="256"/>
      <c r="AH17" s="1055"/>
      <c r="AI17" s="68"/>
      <c r="AJ17" s="69"/>
      <c r="AK17" s="69"/>
      <c r="AL17" s="86"/>
      <c r="AM17" s="86"/>
      <c r="AN17" s="86"/>
      <c r="AO17" s="86"/>
      <c r="AP17" s="86"/>
      <c r="AQ17" s="86"/>
      <c r="AR17" s="86"/>
      <c r="AS17" s="86"/>
      <c r="AT17" s="86"/>
      <c r="AU17" s="86"/>
      <c r="AV17" s="86"/>
      <c r="AW17" s="86"/>
      <c r="AX17" s="86"/>
      <c r="AY17" s="86"/>
      <c r="AZ17" s="86"/>
      <c r="BA17" s="86"/>
    </row>
    <row r="18" spans="1:53" ht="3.75" customHeight="1" thickBot="1">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32"/>
      <c r="AJ18" s="32"/>
      <c r="AK18" s="32"/>
      <c r="AL18" s="32"/>
      <c r="AM18" s="32"/>
      <c r="AN18" s="32"/>
      <c r="AO18" s="32"/>
      <c r="AP18" s="32"/>
      <c r="AQ18" s="32"/>
      <c r="AR18" s="32"/>
      <c r="AS18" s="32"/>
      <c r="AT18" s="32"/>
      <c r="AU18" s="32"/>
      <c r="AV18" s="32"/>
      <c r="AW18" s="32"/>
      <c r="AX18" s="32"/>
      <c r="AY18" s="32"/>
      <c r="AZ18" s="32"/>
      <c r="BA18" s="32"/>
    </row>
    <row r="19" spans="1:53" ht="31.5" customHeight="1">
      <c r="A19" s="1050"/>
      <c r="B19" s="1046"/>
      <c r="C19" s="1046"/>
      <c r="D19" s="1046"/>
      <c r="E19" s="1046"/>
      <c r="F19" s="1046"/>
      <c r="G19" s="1046"/>
      <c r="H19" s="1047"/>
      <c r="I19" s="1045"/>
      <c r="J19" s="1047"/>
      <c r="K19" s="1045"/>
      <c r="L19" s="1046"/>
      <c r="M19" s="1046"/>
      <c r="N19" s="1046"/>
      <c r="O19" s="1046"/>
      <c r="P19" s="1046"/>
      <c r="Q19" s="1047"/>
      <c r="R19" s="1045"/>
      <c r="S19" s="1046"/>
      <c r="T19" s="1046"/>
      <c r="U19" s="1047"/>
      <c r="V19" s="1045"/>
      <c r="W19" s="1046"/>
      <c r="X19" s="1047"/>
      <c r="Y19" s="1045"/>
      <c r="Z19" s="1046"/>
      <c r="AA19" s="1047"/>
      <c r="AB19" s="1045"/>
      <c r="AC19" s="1047"/>
      <c r="AD19" s="1045"/>
      <c r="AE19" s="1046"/>
      <c r="AF19" s="1046"/>
      <c r="AG19" s="1047"/>
      <c r="AH19" s="258"/>
      <c r="AI19" s="32"/>
      <c r="AJ19" s="32"/>
      <c r="AK19" s="32"/>
      <c r="AL19" s="32"/>
      <c r="AM19" s="32"/>
      <c r="AN19" s="32"/>
      <c r="AO19" s="32"/>
      <c r="AP19" s="32"/>
      <c r="AQ19" s="32"/>
      <c r="AR19" s="32"/>
      <c r="AS19" s="32"/>
      <c r="AT19" s="32"/>
      <c r="AU19" s="32"/>
      <c r="AV19" s="32"/>
      <c r="AW19" s="32"/>
      <c r="AX19" s="32"/>
      <c r="AY19" s="32"/>
      <c r="AZ19" s="32"/>
      <c r="BA19" s="32"/>
    </row>
    <row r="20" spans="1:53" s="45" customFormat="1" ht="31.5" customHeight="1">
      <c r="A20" s="1048"/>
      <c r="B20" s="1041"/>
      <c r="C20" s="1041"/>
      <c r="D20" s="1041"/>
      <c r="E20" s="1041"/>
      <c r="F20" s="1041"/>
      <c r="G20" s="1041"/>
      <c r="H20" s="1040"/>
      <c r="I20" s="1039"/>
      <c r="J20" s="1040"/>
      <c r="K20" s="1039"/>
      <c r="L20" s="1041"/>
      <c r="M20" s="1041"/>
      <c r="N20" s="1041"/>
      <c r="O20" s="1041"/>
      <c r="P20" s="1041"/>
      <c r="Q20" s="1040"/>
      <c r="R20" s="1039"/>
      <c r="S20" s="1041"/>
      <c r="T20" s="1041"/>
      <c r="U20" s="1040"/>
      <c r="V20" s="1039"/>
      <c r="W20" s="1041"/>
      <c r="X20" s="1040"/>
      <c r="Y20" s="1039"/>
      <c r="Z20" s="1041"/>
      <c r="AA20" s="1040"/>
      <c r="AB20" s="1039"/>
      <c r="AC20" s="1040"/>
      <c r="AD20" s="1039"/>
      <c r="AE20" s="1041"/>
      <c r="AF20" s="1041"/>
      <c r="AG20" s="1040"/>
      <c r="AH20" s="259"/>
      <c r="AI20" s="68"/>
      <c r="AJ20" s="68"/>
      <c r="AK20" s="68"/>
      <c r="AL20" s="86"/>
      <c r="AM20" s="86"/>
      <c r="AN20" s="86"/>
      <c r="AO20" s="86"/>
      <c r="AP20" s="86"/>
      <c r="AQ20" s="86"/>
      <c r="AR20" s="86"/>
      <c r="AS20" s="86"/>
      <c r="AT20" s="86"/>
      <c r="AU20" s="86"/>
      <c r="AV20" s="86"/>
      <c r="AW20" s="86"/>
      <c r="AX20" s="86"/>
      <c r="AY20" s="86"/>
      <c r="AZ20" s="86"/>
      <c r="BA20" s="86"/>
    </row>
    <row r="21" spans="1:53" ht="31.5" customHeight="1">
      <c r="A21" s="1048"/>
      <c r="B21" s="1041"/>
      <c r="C21" s="1041"/>
      <c r="D21" s="1041"/>
      <c r="E21" s="1041"/>
      <c r="F21" s="1041"/>
      <c r="G21" s="1041"/>
      <c r="H21" s="1040"/>
      <c r="I21" s="1039"/>
      <c r="J21" s="1040"/>
      <c r="K21" s="1039"/>
      <c r="L21" s="1041"/>
      <c r="M21" s="1041"/>
      <c r="N21" s="1041"/>
      <c r="O21" s="1041"/>
      <c r="P21" s="1041"/>
      <c r="Q21" s="1040"/>
      <c r="R21" s="1039"/>
      <c r="S21" s="1041"/>
      <c r="T21" s="1041"/>
      <c r="U21" s="1040"/>
      <c r="V21" s="1039"/>
      <c r="W21" s="1041"/>
      <c r="X21" s="1040"/>
      <c r="Y21" s="1039"/>
      <c r="Z21" s="1041"/>
      <c r="AA21" s="1040"/>
      <c r="AB21" s="1039"/>
      <c r="AC21" s="1040"/>
      <c r="AD21" s="1039"/>
      <c r="AE21" s="1041"/>
      <c r="AF21" s="1041"/>
      <c r="AG21" s="1040"/>
      <c r="AH21" s="260"/>
      <c r="AI21" s="32"/>
      <c r="AJ21" s="32"/>
      <c r="AK21" s="32"/>
      <c r="AL21" s="32"/>
      <c r="AM21" s="32"/>
      <c r="AN21" s="32"/>
      <c r="AO21" s="32"/>
      <c r="AP21" s="32"/>
      <c r="AQ21" s="32"/>
      <c r="AR21" s="32"/>
      <c r="AS21" s="32"/>
      <c r="AT21" s="32"/>
      <c r="AU21" s="32"/>
      <c r="AV21" s="32"/>
      <c r="AW21" s="32"/>
      <c r="AX21" s="32"/>
      <c r="AY21" s="32"/>
      <c r="AZ21" s="32"/>
      <c r="BA21" s="32"/>
    </row>
    <row r="22" spans="1:53" ht="31.5" customHeight="1">
      <c r="A22" s="1048"/>
      <c r="B22" s="1041"/>
      <c r="C22" s="1041"/>
      <c r="D22" s="1041"/>
      <c r="E22" s="1041"/>
      <c r="F22" s="1041"/>
      <c r="G22" s="1041"/>
      <c r="H22" s="1040"/>
      <c r="I22" s="1039"/>
      <c r="J22" s="1040"/>
      <c r="K22" s="1039"/>
      <c r="L22" s="1041"/>
      <c r="M22" s="1041"/>
      <c r="N22" s="1041"/>
      <c r="O22" s="1041"/>
      <c r="P22" s="1041"/>
      <c r="Q22" s="1040"/>
      <c r="R22" s="1039"/>
      <c r="S22" s="1041"/>
      <c r="T22" s="1041"/>
      <c r="U22" s="1040"/>
      <c r="V22" s="1039"/>
      <c r="W22" s="1041"/>
      <c r="X22" s="1040"/>
      <c r="Y22" s="1039"/>
      <c r="Z22" s="1041"/>
      <c r="AA22" s="1040"/>
      <c r="AB22" s="1039"/>
      <c r="AC22" s="1040"/>
      <c r="AD22" s="1039"/>
      <c r="AE22" s="1041"/>
      <c r="AF22" s="1041"/>
      <c r="AG22" s="1040"/>
      <c r="AH22" s="259"/>
      <c r="AI22" s="32"/>
      <c r="AJ22" s="32"/>
      <c r="AK22" s="32"/>
      <c r="AL22" s="32"/>
      <c r="AM22" s="32"/>
      <c r="AN22" s="32"/>
      <c r="AO22" s="32"/>
      <c r="AP22" s="32"/>
      <c r="AQ22" s="32"/>
      <c r="AR22" s="32"/>
      <c r="AS22" s="32"/>
      <c r="AT22" s="32"/>
      <c r="AU22" s="32"/>
      <c r="AV22" s="32"/>
      <c r="AW22" s="32"/>
      <c r="AX22" s="32"/>
      <c r="AY22" s="32"/>
      <c r="AZ22" s="32"/>
      <c r="BA22" s="32"/>
    </row>
    <row r="23" spans="1:53" s="45" customFormat="1" ht="31.5" customHeight="1">
      <c r="A23" s="1048"/>
      <c r="B23" s="1041"/>
      <c r="C23" s="1041"/>
      <c r="D23" s="1041"/>
      <c r="E23" s="1041"/>
      <c r="F23" s="1041"/>
      <c r="G23" s="1041"/>
      <c r="H23" s="1040"/>
      <c r="I23" s="1039"/>
      <c r="J23" s="1040"/>
      <c r="K23" s="1039"/>
      <c r="L23" s="1041"/>
      <c r="M23" s="1041"/>
      <c r="N23" s="1041"/>
      <c r="O23" s="1041"/>
      <c r="P23" s="1041"/>
      <c r="Q23" s="1040"/>
      <c r="R23" s="1039"/>
      <c r="S23" s="1041"/>
      <c r="T23" s="1041"/>
      <c r="U23" s="1040"/>
      <c r="V23" s="1039"/>
      <c r="W23" s="1041"/>
      <c r="X23" s="1040"/>
      <c r="Y23" s="1039"/>
      <c r="Z23" s="1041"/>
      <c r="AA23" s="1040"/>
      <c r="AB23" s="1039"/>
      <c r="AC23" s="1040"/>
      <c r="AD23" s="1039"/>
      <c r="AE23" s="1041"/>
      <c r="AF23" s="1041"/>
      <c r="AG23" s="1040"/>
      <c r="AH23" s="260"/>
      <c r="AI23" s="68"/>
      <c r="AJ23" s="68"/>
      <c r="AK23" s="68"/>
      <c r="AL23" s="86"/>
      <c r="AM23" s="86"/>
      <c r="AN23" s="86"/>
      <c r="AO23" s="86"/>
      <c r="AP23" s="86"/>
      <c r="AQ23" s="86"/>
      <c r="AR23" s="86"/>
      <c r="AS23" s="86"/>
      <c r="AT23" s="86"/>
      <c r="AU23" s="86"/>
      <c r="AV23" s="86"/>
      <c r="AW23" s="86"/>
      <c r="AX23" s="86"/>
      <c r="AY23" s="86"/>
      <c r="AZ23" s="86"/>
      <c r="BA23" s="86"/>
    </row>
    <row r="24" spans="1:53" ht="31.5" customHeight="1">
      <c r="A24" s="1048"/>
      <c r="B24" s="1041"/>
      <c r="C24" s="1041"/>
      <c r="D24" s="1041"/>
      <c r="E24" s="1041"/>
      <c r="F24" s="1041"/>
      <c r="G24" s="1041"/>
      <c r="H24" s="1040"/>
      <c r="I24" s="1039"/>
      <c r="J24" s="1040"/>
      <c r="K24" s="1039"/>
      <c r="L24" s="1041"/>
      <c r="M24" s="1041"/>
      <c r="N24" s="1041"/>
      <c r="O24" s="1041"/>
      <c r="P24" s="1041"/>
      <c r="Q24" s="1040"/>
      <c r="R24" s="1039"/>
      <c r="S24" s="1041"/>
      <c r="T24" s="1041"/>
      <c r="U24" s="1040"/>
      <c r="V24" s="1039"/>
      <c r="W24" s="1041"/>
      <c r="X24" s="1040"/>
      <c r="Y24" s="1039"/>
      <c r="Z24" s="1041"/>
      <c r="AA24" s="1040"/>
      <c r="AB24" s="1039"/>
      <c r="AC24" s="1040"/>
      <c r="AD24" s="1039"/>
      <c r="AE24" s="1041"/>
      <c r="AF24" s="1041"/>
      <c r="AG24" s="1040"/>
      <c r="AH24" s="259"/>
      <c r="AI24" s="32"/>
      <c r="AJ24" s="32"/>
      <c r="AK24" s="32"/>
      <c r="AL24" s="32"/>
      <c r="AM24" s="32"/>
      <c r="AN24" s="32"/>
      <c r="AO24" s="32"/>
      <c r="AP24" s="32"/>
      <c r="AQ24" s="32"/>
      <c r="AR24" s="32"/>
      <c r="AS24" s="32"/>
      <c r="AT24" s="32"/>
      <c r="AU24" s="32"/>
      <c r="AV24" s="32"/>
      <c r="AW24" s="32"/>
      <c r="AX24" s="32"/>
      <c r="AY24" s="32"/>
      <c r="AZ24" s="32"/>
      <c r="BA24" s="32"/>
    </row>
    <row r="25" spans="1:53" ht="31.5" customHeight="1">
      <c r="A25" s="1048"/>
      <c r="B25" s="1041"/>
      <c r="C25" s="1041"/>
      <c r="D25" s="1041"/>
      <c r="E25" s="1041"/>
      <c r="F25" s="1041"/>
      <c r="G25" s="1041"/>
      <c r="H25" s="1040"/>
      <c r="I25" s="1039"/>
      <c r="J25" s="1040"/>
      <c r="K25" s="1039"/>
      <c r="L25" s="1041"/>
      <c r="M25" s="1041"/>
      <c r="N25" s="1041"/>
      <c r="O25" s="1041"/>
      <c r="P25" s="1041"/>
      <c r="Q25" s="1040"/>
      <c r="R25" s="1039"/>
      <c r="S25" s="1041"/>
      <c r="T25" s="1041"/>
      <c r="U25" s="1040"/>
      <c r="V25" s="1039"/>
      <c r="W25" s="1041"/>
      <c r="X25" s="1040"/>
      <c r="Y25" s="1039"/>
      <c r="Z25" s="1041"/>
      <c r="AA25" s="1040"/>
      <c r="AB25" s="1039"/>
      <c r="AC25" s="1040"/>
      <c r="AD25" s="1039"/>
      <c r="AE25" s="1041"/>
      <c r="AF25" s="1041"/>
      <c r="AG25" s="1040"/>
      <c r="AH25" s="260"/>
      <c r="AI25" s="32"/>
      <c r="AJ25" s="32"/>
      <c r="AK25" s="32"/>
      <c r="AL25" s="32"/>
      <c r="AM25" s="32"/>
      <c r="AN25" s="32"/>
      <c r="AO25" s="32"/>
      <c r="AP25" s="32"/>
      <c r="AQ25" s="32"/>
      <c r="AR25" s="32"/>
      <c r="AS25" s="32"/>
      <c r="AT25" s="32"/>
      <c r="AU25" s="32"/>
      <c r="AV25" s="32"/>
      <c r="AW25" s="32"/>
      <c r="AX25" s="32"/>
      <c r="AY25" s="32"/>
      <c r="AZ25" s="32"/>
      <c r="BA25" s="32"/>
    </row>
    <row r="26" spans="1:53" s="45" customFormat="1" ht="31.5" customHeight="1">
      <c r="A26" s="1048"/>
      <c r="B26" s="1041"/>
      <c r="C26" s="1041"/>
      <c r="D26" s="1041"/>
      <c r="E26" s="1041"/>
      <c r="F26" s="1041"/>
      <c r="G26" s="1041"/>
      <c r="H26" s="1040"/>
      <c r="I26" s="1039"/>
      <c r="J26" s="1040"/>
      <c r="K26" s="1039"/>
      <c r="L26" s="1041"/>
      <c r="M26" s="1041"/>
      <c r="N26" s="1041"/>
      <c r="O26" s="1041"/>
      <c r="P26" s="1041"/>
      <c r="Q26" s="1040"/>
      <c r="R26" s="1039"/>
      <c r="S26" s="1041"/>
      <c r="T26" s="1041"/>
      <c r="U26" s="1040"/>
      <c r="V26" s="1039"/>
      <c r="W26" s="1041"/>
      <c r="X26" s="1040"/>
      <c r="Y26" s="1039"/>
      <c r="Z26" s="1041"/>
      <c r="AA26" s="1040"/>
      <c r="AB26" s="1039"/>
      <c r="AC26" s="1040"/>
      <c r="AD26" s="1039"/>
      <c r="AE26" s="1041"/>
      <c r="AF26" s="1041"/>
      <c r="AG26" s="1040"/>
      <c r="AH26" s="259"/>
      <c r="AI26" s="68"/>
      <c r="AJ26" s="68"/>
      <c r="AK26" s="68"/>
      <c r="AL26" s="86"/>
      <c r="AM26" s="86"/>
      <c r="AN26" s="86"/>
      <c r="AO26" s="86"/>
      <c r="AP26" s="86"/>
      <c r="AQ26" s="86"/>
      <c r="AR26" s="86"/>
      <c r="AS26" s="86"/>
      <c r="AT26" s="86"/>
      <c r="AU26" s="86"/>
      <c r="AV26" s="86"/>
      <c r="AW26" s="86"/>
      <c r="AX26" s="86"/>
      <c r="AY26" s="86"/>
      <c r="AZ26" s="86"/>
      <c r="BA26" s="86"/>
    </row>
    <row r="27" spans="1:53" s="45" customFormat="1" ht="31.5" customHeight="1">
      <c r="A27" s="1048"/>
      <c r="B27" s="1041"/>
      <c r="C27" s="1041"/>
      <c r="D27" s="1041"/>
      <c r="E27" s="1041"/>
      <c r="F27" s="1041"/>
      <c r="G27" s="1041"/>
      <c r="H27" s="1040"/>
      <c r="I27" s="1039"/>
      <c r="J27" s="1040"/>
      <c r="K27" s="1039"/>
      <c r="L27" s="1041"/>
      <c r="M27" s="1041"/>
      <c r="N27" s="1041"/>
      <c r="O27" s="1041"/>
      <c r="P27" s="1041"/>
      <c r="Q27" s="1040"/>
      <c r="R27" s="1039"/>
      <c r="S27" s="1041"/>
      <c r="T27" s="1041"/>
      <c r="U27" s="1040"/>
      <c r="V27" s="1039"/>
      <c r="W27" s="1041"/>
      <c r="X27" s="1040"/>
      <c r="Y27" s="1039"/>
      <c r="Z27" s="1041"/>
      <c r="AA27" s="1040"/>
      <c r="AB27" s="1039"/>
      <c r="AC27" s="1040"/>
      <c r="AD27" s="1039"/>
      <c r="AE27" s="1041"/>
      <c r="AF27" s="1041"/>
      <c r="AG27" s="1040"/>
      <c r="AH27" s="260"/>
      <c r="AI27" s="68"/>
      <c r="AJ27" s="68"/>
      <c r="AK27" s="68"/>
      <c r="AL27" s="86"/>
      <c r="AM27" s="86"/>
      <c r="AN27" s="86"/>
      <c r="AO27" s="86"/>
      <c r="AP27" s="86"/>
      <c r="AQ27" s="86"/>
      <c r="AR27" s="86"/>
      <c r="AS27" s="86"/>
      <c r="AT27" s="86"/>
      <c r="AU27" s="86"/>
      <c r="AV27" s="86"/>
      <c r="AW27" s="86"/>
      <c r="AX27" s="86"/>
      <c r="AY27" s="86"/>
      <c r="AZ27" s="86"/>
      <c r="BA27" s="86"/>
    </row>
    <row r="28" spans="1:53" s="45" customFormat="1" ht="31.5" customHeight="1">
      <c r="A28" s="1048"/>
      <c r="B28" s="1041"/>
      <c r="C28" s="1041"/>
      <c r="D28" s="1041"/>
      <c r="E28" s="1041"/>
      <c r="F28" s="1041"/>
      <c r="G28" s="1041"/>
      <c r="H28" s="1040"/>
      <c r="I28" s="1039"/>
      <c r="J28" s="1040"/>
      <c r="K28" s="1039"/>
      <c r="L28" s="1041"/>
      <c r="M28" s="1041"/>
      <c r="N28" s="1041"/>
      <c r="O28" s="1041"/>
      <c r="P28" s="1041"/>
      <c r="Q28" s="1040"/>
      <c r="R28" s="1039"/>
      <c r="S28" s="1041"/>
      <c r="T28" s="1041"/>
      <c r="U28" s="1040"/>
      <c r="V28" s="1039"/>
      <c r="W28" s="1041"/>
      <c r="X28" s="1040"/>
      <c r="Y28" s="1039"/>
      <c r="Z28" s="1041"/>
      <c r="AA28" s="1040"/>
      <c r="AB28" s="1039"/>
      <c r="AC28" s="1040"/>
      <c r="AD28" s="1039"/>
      <c r="AE28" s="1041"/>
      <c r="AF28" s="1041"/>
      <c r="AG28" s="1040"/>
      <c r="AH28" s="260"/>
      <c r="AI28" s="68"/>
      <c r="AJ28" s="68"/>
      <c r="AK28" s="68"/>
      <c r="AL28" s="86"/>
      <c r="AM28" s="86"/>
      <c r="AN28" s="86"/>
      <c r="AO28" s="86"/>
      <c r="AP28" s="86"/>
      <c r="AQ28" s="86"/>
      <c r="AR28" s="86"/>
      <c r="AS28" s="86"/>
      <c r="AT28" s="86"/>
      <c r="AU28" s="86"/>
      <c r="AV28" s="86"/>
      <c r="AW28" s="86"/>
      <c r="AX28" s="86"/>
      <c r="AY28" s="86"/>
      <c r="AZ28" s="86"/>
      <c r="BA28" s="86"/>
    </row>
    <row r="29" spans="1:53" s="45" customFormat="1" ht="31.5" customHeight="1">
      <c r="A29" s="1048"/>
      <c r="B29" s="1041"/>
      <c r="C29" s="1041"/>
      <c r="D29" s="1041"/>
      <c r="E29" s="1041"/>
      <c r="F29" s="1041"/>
      <c r="G29" s="1041"/>
      <c r="H29" s="1040"/>
      <c r="I29" s="1039"/>
      <c r="J29" s="1040"/>
      <c r="K29" s="1039"/>
      <c r="L29" s="1041"/>
      <c r="M29" s="1041"/>
      <c r="N29" s="1041"/>
      <c r="O29" s="1041"/>
      <c r="P29" s="1041"/>
      <c r="Q29" s="1040"/>
      <c r="R29" s="1039"/>
      <c r="S29" s="1041"/>
      <c r="T29" s="1041"/>
      <c r="U29" s="1040"/>
      <c r="V29" s="1039"/>
      <c r="W29" s="1041"/>
      <c r="X29" s="1040"/>
      <c r="Y29" s="1039"/>
      <c r="Z29" s="1041"/>
      <c r="AA29" s="1040"/>
      <c r="AB29" s="1039"/>
      <c r="AC29" s="1040"/>
      <c r="AD29" s="1039"/>
      <c r="AE29" s="1041"/>
      <c r="AF29" s="1041"/>
      <c r="AG29" s="1040"/>
      <c r="AH29" s="259"/>
      <c r="AI29" s="68"/>
      <c r="AJ29" s="68"/>
      <c r="AK29" s="68"/>
      <c r="AL29" s="86"/>
      <c r="AM29" s="86"/>
      <c r="AN29" s="86"/>
      <c r="AO29" s="86"/>
      <c r="AP29" s="86"/>
      <c r="AQ29" s="86"/>
      <c r="AR29" s="86"/>
      <c r="AS29" s="86"/>
      <c r="AT29" s="86"/>
      <c r="AU29" s="86"/>
      <c r="AV29" s="86"/>
      <c r="AW29" s="86"/>
      <c r="AX29" s="86"/>
      <c r="AY29" s="86"/>
      <c r="AZ29" s="86"/>
      <c r="BA29" s="86"/>
    </row>
    <row r="30" spans="1:53" s="45" customFormat="1" ht="31.5" customHeight="1">
      <c r="A30" s="1048"/>
      <c r="B30" s="1041"/>
      <c r="C30" s="1041"/>
      <c r="D30" s="1041"/>
      <c r="E30" s="1041"/>
      <c r="F30" s="1041"/>
      <c r="G30" s="1041"/>
      <c r="H30" s="1040"/>
      <c r="I30" s="1039"/>
      <c r="J30" s="1040"/>
      <c r="K30" s="1039"/>
      <c r="L30" s="1041"/>
      <c r="M30" s="1041"/>
      <c r="N30" s="1041"/>
      <c r="O30" s="1041"/>
      <c r="P30" s="1041"/>
      <c r="Q30" s="1040"/>
      <c r="R30" s="1039"/>
      <c r="S30" s="1041"/>
      <c r="T30" s="1041"/>
      <c r="U30" s="1040"/>
      <c r="V30" s="1039"/>
      <c r="W30" s="1041"/>
      <c r="X30" s="1040"/>
      <c r="Y30" s="1039"/>
      <c r="Z30" s="1041"/>
      <c r="AA30" s="1040"/>
      <c r="AB30" s="1039"/>
      <c r="AC30" s="1040"/>
      <c r="AD30" s="1039"/>
      <c r="AE30" s="1041"/>
      <c r="AF30" s="1041"/>
      <c r="AG30" s="1040"/>
      <c r="AH30" s="260"/>
      <c r="AI30" s="68"/>
      <c r="AJ30" s="68"/>
      <c r="AK30" s="68"/>
      <c r="AL30" s="86"/>
      <c r="AM30" s="86"/>
      <c r="AN30" s="86"/>
      <c r="AO30" s="86"/>
      <c r="AP30" s="86"/>
      <c r="AQ30" s="86"/>
      <c r="AR30" s="86"/>
      <c r="AS30" s="86"/>
      <c r="AT30" s="86"/>
      <c r="AU30" s="86"/>
      <c r="AV30" s="86"/>
      <c r="AW30" s="86"/>
      <c r="AX30" s="86"/>
      <c r="AY30" s="86"/>
      <c r="AZ30" s="86"/>
      <c r="BA30" s="86"/>
    </row>
    <row r="31" spans="1:53" s="45" customFormat="1" ht="31.5" customHeight="1">
      <c r="A31" s="1048"/>
      <c r="B31" s="1041"/>
      <c r="C31" s="1041"/>
      <c r="D31" s="1041"/>
      <c r="E31" s="1041"/>
      <c r="F31" s="1041"/>
      <c r="G31" s="1041"/>
      <c r="H31" s="1040"/>
      <c r="I31" s="1039"/>
      <c r="J31" s="1040"/>
      <c r="K31" s="1039"/>
      <c r="L31" s="1041"/>
      <c r="M31" s="1041"/>
      <c r="N31" s="1041"/>
      <c r="O31" s="1041"/>
      <c r="P31" s="1041"/>
      <c r="Q31" s="1040"/>
      <c r="R31" s="1039"/>
      <c r="S31" s="1041"/>
      <c r="T31" s="1041"/>
      <c r="U31" s="1040"/>
      <c r="V31" s="1039"/>
      <c r="W31" s="1041"/>
      <c r="X31" s="1040"/>
      <c r="Y31" s="1039"/>
      <c r="Z31" s="1041"/>
      <c r="AA31" s="1040"/>
      <c r="AB31" s="1039"/>
      <c r="AC31" s="1040"/>
      <c r="AD31" s="1039"/>
      <c r="AE31" s="1041"/>
      <c r="AF31" s="1041"/>
      <c r="AG31" s="1040"/>
      <c r="AH31" s="259"/>
      <c r="AI31" s="68"/>
      <c r="AJ31" s="68"/>
      <c r="AK31" s="68"/>
      <c r="AL31" s="86"/>
      <c r="AM31" s="86"/>
      <c r="AN31" s="86"/>
      <c r="AO31" s="86"/>
      <c r="AP31" s="86"/>
      <c r="AQ31" s="86"/>
      <c r="AR31" s="86"/>
      <c r="AS31" s="86"/>
      <c r="AT31" s="86"/>
      <c r="AU31" s="86"/>
      <c r="AV31" s="86"/>
      <c r="AW31" s="86"/>
      <c r="AX31" s="86"/>
      <c r="AY31" s="86"/>
      <c r="AZ31" s="86"/>
      <c r="BA31" s="86"/>
    </row>
    <row r="32" spans="1:53" s="45" customFormat="1" ht="31.5" customHeight="1" thickBot="1">
      <c r="A32" s="1049"/>
      <c r="B32" s="1044"/>
      <c r="C32" s="1044"/>
      <c r="D32" s="1044"/>
      <c r="E32" s="1044"/>
      <c r="F32" s="1044"/>
      <c r="G32" s="1044"/>
      <c r="H32" s="1043"/>
      <c r="I32" s="1042"/>
      <c r="J32" s="1043"/>
      <c r="K32" s="1042"/>
      <c r="L32" s="1044"/>
      <c r="M32" s="1044"/>
      <c r="N32" s="1044"/>
      <c r="O32" s="1044"/>
      <c r="P32" s="1044"/>
      <c r="Q32" s="1043"/>
      <c r="R32" s="1042"/>
      <c r="S32" s="1044"/>
      <c r="T32" s="1044"/>
      <c r="U32" s="1043"/>
      <c r="V32" s="1042"/>
      <c r="W32" s="1044"/>
      <c r="X32" s="1043"/>
      <c r="Y32" s="1042"/>
      <c r="Z32" s="1044"/>
      <c r="AA32" s="1043"/>
      <c r="AB32" s="1042"/>
      <c r="AC32" s="1043"/>
      <c r="AD32" s="1042"/>
      <c r="AE32" s="1044"/>
      <c r="AF32" s="1044"/>
      <c r="AG32" s="1043"/>
      <c r="AH32" s="261"/>
      <c r="AI32" s="68"/>
      <c r="AJ32" s="68"/>
      <c r="AK32" s="68"/>
      <c r="AL32" s="86"/>
      <c r="AM32" s="86"/>
      <c r="AN32" s="86"/>
      <c r="AO32" s="86"/>
      <c r="AP32" s="86"/>
      <c r="AQ32" s="86"/>
      <c r="AR32" s="86"/>
      <c r="AS32" s="86"/>
      <c r="AT32" s="86"/>
      <c r="AU32" s="86"/>
      <c r="AV32" s="86"/>
      <c r="AW32" s="86"/>
      <c r="AX32" s="86"/>
      <c r="AY32" s="86"/>
      <c r="AZ32" s="86"/>
      <c r="BA32" s="86"/>
    </row>
    <row r="33" spans="1:53" s="45" customFormat="1" ht="15" thickBo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68"/>
      <c r="AJ33" s="68"/>
      <c r="AK33" s="68"/>
      <c r="AL33" s="86"/>
      <c r="AM33" s="86"/>
      <c r="AN33" s="86"/>
      <c r="AO33" s="86"/>
      <c r="AP33" s="86"/>
      <c r="AQ33" s="86"/>
      <c r="AR33" s="86"/>
      <c r="AS33" s="86"/>
      <c r="AT33" s="86"/>
      <c r="AU33" s="86"/>
      <c r="AV33" s="86"/>
      <c r="AW33" s="86"/>
      <c r="AX33" s="86"/>
      <c r="AY33" s="86"/>
      <c r="AZ33" s="86"/>
      <c r="BA33" s="86"/>
    </row>
    <row r="34" spans="1:53" s="45" customFormat="1" ht="12" customHeight="1">
      <c r="A34" s="35"/>
      <c r="B34" s="35"/>
      <c r="C34" s="35"/>
      <c r="D34" s="35"/>
      <c r="E34" s="35"/>
      <c r="F34" s="35"/>
      <c r="G34" s="35"/>
      <c r="H34" s="35"/>
      <c r="I34" s="35"/>
      <c r="J34" s="35"/>
      <c r="K34" s="35"/>
      <c r="M34" s="1024" t="str">
        <f>VLOOKUP("signature",Translations!$A:$T,MATCH(PSW!AO7,Translations!A1:P1,0),0)</f>
        <v>SIGNATURE</v>
      </c>
      <c r="N34" s="1025"/>
      <c r="O34" s="1025"/>
      <c r="P34" s="1025"/>
      <c r="Q34" s="1025"/>
      <c r="R34" s="1025"/>
      <c r="S34" s="1025"/>
      <c r="T34" s="1025"/>
      <c r="U34" s="1025"/>
      <c r="V34" s="1025"/>
      <c r="W34" s="1026"/>
      <c r="X34" s="1033" t="str">
        <f>VLOOKUP("title1",Translations!$A:$T,MATCH(PSW!AO7,Translations!A1:P1,0),0)</f>
        <v>TITLE</v>
      </c>
      <c r="Y34" s="1033"/>
      <c r="Z34" s="1033"/>
      <c r="AA34" s="1033"/>
      <c r="AB34" s="1033"/>
      <c r="AC34" s="1033"/>
      <c r="AD34" s="1033"/>
      <c r="AE34" s="1033"/>
      <c r="AF34" s="1034"/>
      <c r="AG34" s="1022" t="str">
        <f>VLOOKUP("date1",Translations!$A:$T,MATCH(PSW!AO7,Translations!A1:P1,0),0)</f>
        <v>DATE</v>
      </c>
      <c r="AH34" s="1023"/>
      <c r="AI34" s="68"/>
      <c r="AJ34" s="68"/>
      <c r="AK34" s="68"/>
      <c r="AL34" s="86"/>
      <c r="AM34" s="86"/>
      <c r="AN34" s="86"/>
      <c r="AO34" s="86"/>
      <c r="AP34" s="86"/>
      <c r="AQ34" s="86"/>
      <c r="AR34" s="86"/>
      <c r="AS34" s="86"/>
      <c r="AT34" s="86"/>
      <c r="AU34" s="86"/>
      <c r="AV34" s="86"/>
      <c r="AW34" s="86"/>
      <c r="AX34" s="86"/>
      <c r="AY34" s="86"/>
      <c r="AZ34" s="86"/>
      <c r="BA34" s="86"/>
    </row>
    <row r="35" spans="1:53" s="45" customFormat="1" ht="18" customHeight="1">
      <c r="A35" s="35"/>
      <c r="B35" s="35"/>
      <c r="C35" s="35"/>
      <c r="D35" s="35"/>
      <c r="E35" s="35"/>
      <c r="F35" s="35"/>
      <c r="G35" s="35"/>
      <c r="H35" s="35"/>
      <c r="I35" s="35"/>
      <c r="J35" s="35"/>
      <c r="K35" s="35"/>
      <c r="M35" s="1027"/>
      <c r="N35" s="1028"/>
      <c r="O35" s="1028"/>
      <c r="P35" s="1028"/>
      <c r="Q35" s="1028"/>
      <c r="R35" s="1028"/>
      <c r="S35" s="1028"/>
      <c r="T35" s="1028"/>
      <c r="U35" s="1028"/>
      <c r="V35" s="1028"/>
      <c r="W35" s="1029"/>
      <c r="X35" s="1035"/>
      <c r="Y35" s="1035"/>
      <c r="Z35" s="1035"/>
      <c r="AA35" s="1035"/>
      <c r="AB35" s="1035"/>
      <c r="AC35" s="1035"/>
      <c r="AD35" s="1035"/>
      <c r="AE35" s="1035"/>
      <c r="AF35" s="1036"/>
      <c r="AG35" s="506"/>
      <c r="AH35" s="508"/>
      <c r="AI35" s="68"/>
      <c r="AJ35" s="68"/>
      <c r="AK35" s="68"/>
      <c r="AL35" s="86"/>
      <c r="AM35" s="86"/>
      <c r="AN35" s="86"/>
      <c r="AO35" s="86"/>
      <c r="AP35" s="86"/>
      <c r="AQ35" s="86"/>
      <c r="AR35" s="86"/>
      <c r="AS35" s="86"/>
      <c r="AT35" s="86"/>
      <c r="AU35" s="86"/>
      <c r="AV35" s="86"/>
      <c r="AW35" s="86"/>
      <c r="AX35" s="86"/>
      <c r="AY35" s="86"/>
      <c r="AZ35" s="86"/>
      <c r="BA35" s="86"/>
    </row>
    <row r="36" spans="1:53" s="45" customFormat="1" ht="24" customHeight="1" thickBot="1">
      <c r="A36" s="35"/>
      <c r="B36" s="35"/>
      <c r="C36" s="35"/>
      <c r="D36" s="35"/>
      <c r="E36" s="35"/>
      <c r="F36" s="35"/>
      <c r="G36" s="35"/>
      <c r="H36" s="35"/>
      <c r="I36" s="35"/>
      <c r="J36" s="35"/>
      <c r="K36" s="35"/>
      <c r="M36" s="1030"/>
      <c r="N36" s="1031"/>
      <c r="O36" s="1031"/>
      <c r="P36" s="1031"/>
      <c r="Q36" s="1031"/>
      <c r="R36" s="1031"/>
      <c r="S36" s="1031"/>
      <c r="T36" s="1031"/>
      <c r="U36" s="1031"/>
      <c r="V36" s="1031"/>
      <c r="W36" s="1032"/>
      <c r="X36" s="1037"/>
      <c r="Y36" s="1037"/>
      <c r="Z36" s="1037"/>
      <c r="AA36" s="1037"/>
      <c r="AB36" s="1037"/>
      <c r="AC36" s="1037"/>
      <c r="AD36" s="1037"/>
      <c r="AE36" s="1037"/>
      <c r="AF36" s="1038"/>
      <c r="AG36" s="507"/>
      <c r="AH36" s="509"/>
      <c r="AI36" s="68"/>
      <c r="AJ36" s="68"/>
      <c r="AK36" s="68"/>
      <c r="AL36" s="86"/>
      <c r="AM36" s="86"/>
      <c r="AN36" s="86"/>
      <c r="AO36" s="86"/>
      <c r="AP36" s="86"/>
      <c r="AQ36" s="86"/>
      <c r="AR36" s="86"/>
      <c r="AS36" s="86"/>
      <c r="AT36" s="86"/>
      <c r="AU36" s="86"/>
      <c r="AV36" s="86"/>
      <c r="AW36" s="86"/>
      <c r="AX36" s="86"/>
      <c r="AY36" s="86"/>
      <c r="AZ36" s="86"/>
      <c r="BA36" s="86"/>
    </row>
    <row r="37" spans="1:53" s="45" customFormat="1" ht="3.75" customHeight="1">
      <c r="A37" s="5"/>
      <c r="B37" s="5"/>
      <c r="C37" s="5"/>
      <c r="D37" s="5"/>
      <c r="E37" s="5"/>
      <c r="F37" s="32"/>
      <c r="G37" s="32"/>
      <c r="H37" s="32"/>
      <c r="I37" s="32"/>
      <c r="J37" s="32"/>
      <c r="K37" s="32"/>
      <c r="L37" s="32"/>
      <c r="M37" s="32"/>
      <c r="N37" s="32"/>
      <c r="O37" s="32"/>
      <c r="Y37" s="32"/>
      <c r="Z37" s="32"/>
      <c r="AA37" s="32"/>
      <c r="AB37" s="32"/>
      <c r="AC37" s="32"/>
      <c r="AD37" s="32"/>
      <c r="AE37" s="32"/>
      <c r="AF37" s="32"/>
      <c r="AG37" s="32"/>
      <c r="AH37" s="32"/>
      <c r="AI37" s="68"/>
      <c r="AJ37" s="68"/>
      <c r="AK37" s="68"/>
      <c r="AL37" s="86"/>
      <c r="AM37" s="86"/>
      <c r="AN37" s="86"/>
      <c r="AO37" s="86"/>
      <c r="AP37" s="86"/>
      <c r="AQ37" s="86"/>
      <c r="AR37" s="86"/>
      <c r="AS37" s="86"/>
      <c r="AT37" s="86"/>
      <c r="AU37" s="86"/>
      <c r="AV37" s="86"/>
      <c r="AW37" s="86"/>
      <c r="AX37" s="86"/>
      <c r="AY37" s="86"/>
      <c r="AZ37" s="86"/>
      <c r="BA37" s="86"/>
    </row>
    <row r="38" spans="1:53" s="45" customFormat="1" ht="3.75" customHeight="1">
      <c r="A38" s="5"/>
      <c r="B38" s="5"/>
      <c r="C38" s="5"/>
      <c r="D38" s="5"/>
      <c r="E38" s="5"/>
      <c r="F38" s="32"/>
      <c r="G38" s="32"/>
      <c r="H38" s="32"/>
      <c r="I38" s="32"/>
      <c r="J38" s="32"/>
      <c r="K38" s="32"/>
      <c r="L38" s="32"/>
      <c r="M38" s="32"/>
      <c r="N38" s="32"/>
      <c r="O38" s="32"/>
      <c r="Y38" s="32"/>
      <c r="Z38" s="32"/>
      <c r="AA38" s="32"/>
      <c r="AB38" s="32"/>
      <c r="AC38" s="32"/>
      <c r="AD38" s="32"/>
      <c r="AE38" s="32"/>
      <c r="AF38" s="32"/>
      <c r="AG38" s="32"/>
      <c r="AH38" s="32"/>
      <c r="AI38" s="68"/>
      <c r="AJ38" s="68"/>
      <c r="AK38" s="68"/>
      <c r="AL38" s="86"/>
      <c r="AM38" s="86"/>
      <c r="AN38" s="86"/>
      <c r="AO38" s="86"/>
      <c r="AP38" s="86"/>
      <c r="AQ38" s="86"/>
      <c r="AR38" s="86"/>
      <c r="AS38" s="86"/>
      <c r="AT38" s="86"/>
      <c r="AU38" s="86"/>
      <c r="AV38" s="86"/>
      <c r="AW38" s="86"/>
      <c r="AX38" s="86"/>
      <c r="AY38" s="86"/>
      <c r="AZ38" s="86"/>
      <c r="BA38" s="86"/>
    </row>
    <row r="39" spans="1:53" s="45" customFormat="1" ht="19.5" customHeight="1">
      <c r="A39" s="5"/>
      <c r="B39" s="5"/>
      <c r="C39" s="5"/>
      <c r="D39" s="5"/>
      <c r="E39" s="5"/>
      <c r="F39" s="32"/>
      <c r="G39" s="32"/>
      <c r="H39" s="32"/>
      <c r="I39" s="32"/>
      <c r="J39" s="32"/>
      <c r="K39" s="32"/>
      <c r="L39" s="32"/>
      <c r="M39" s="32"/>
      <c r="N39" s="32"/>
      <c r="O39" s="32"/>
      <c r="Y39" s="32"/>
      <c r="Z39" s="32"/>
      <c r="AA39" s="32"/>
      <c r="AB39" s="32"/>
      <c r="AC39" s="32"/>
      <c r="AD39" s="32"/>
      <c r="AE39" s="32"/>
      <c r="AF39" s="32"/>
      <c r="AG39" s="32"/>
      <c r="AH39" s="32"/>
      <c r="AI39" s="68"/>
      <c r="AJ39" s="68"/>
      <c r="AK39" s="68"/>
      <c r="AL39" s="86"/>
      <c r="AM39" s="86"/>
      <c r="AN39" s="86"/>
      <c r="AO39" s="86"/>
      <c r="AP39" s="86"/>
      <c r="AQ39" s="86"/>
      <c r="AR39" s="86"/>
      <c r="AS39" s="86"/>
      <c r="AT39" s="86"/>
      <c r="AU39" s="86"/>
      <c r="AV39" s="86"/>
      <c r="AW39" s="86"/>
      <c r="AX39" s="86"/>
      <c r="AY39" s="86"/>
      <c r="AZ39" s="86"/>
      <c r="BA39" s="86"/>
    </row>
    <row r="40" spans="1:53" s="45" customFormat="1" ht="3.75" customHeight="1">
      <c r="A40" s="5"/>
      <c r="B40" s="5"/>
      <c r="C40" s="5"/>
      <c r="D40" s="5"/>
      <c r="E40" s="5"/>
      <c r="F40" s="32"/>
      <c r="G40" s="32"/>
      <c r="H40" s="32"/>
      <c r="I40" s="32"/>
      <c r="J40" s="32"/>
      <c r="K40" s="32"/>
      <c r="U40" s="32"/>
      <c r="V40" s="32"/>
      <c r="W40" s="32"/>
      <c r="X40" s="32"/>
      <c r="Y40" s="32"/>
      <c r="Z40" s="32"/>
      <c r="AA40" s="32"/>
      <c r="AB40" s="32"/>
      <c r="AC40" s="32"/>
      <c r="AD40" s="32"/>
      <c r="AE40" s="32"/>
      <c r="AF40" s="32"/>
      <c r="AG40" s="32"/>
      <c r="AH40" s="32"/>
      <c r="AI40" s="68"/>
      <c r="AJ40" s="68"/>
      <c r="AK40" s="68"/>
      <c r="AL40" s="86"/>
      <c r="AM40" s="86"/>
      <c r="AN40" s="86"/>
      <c r="AO40" s="86"/>
      <c r="AP40" s="86"/>
      <c r="AQ40" s="86"/>
      <c r="AR40" s="86"/>
      <c r="AS40" s="86"/>
      <c r="AT40" s="86"/>
      <c r="AU40" s="86"/>
      <c r="AV40" s="86"/>
      <c r="AW40" s="86"/>
      <c r="AX40" s="86"/>
      <c r="AY40" s="86"/>
      <c r="AZ40" s="86"/>
      <c r="BA40" s="86"/>
    </row>
    <row r="41" spans="1:53" s="45" customFormat="1" ht="3.75" customHeight="1">
      <c r="A41" s="5"/>
      <c r="B41" s="5"/>
      <c r="C41" s="5"/>
      <c r="D41" s="5"/>
      <c r="E41" s="5"/>
      <c r="F41" s="32"/>
      <c r="G41" s="32"/>
      <c r="H41" s="32"/>
      <c r="I41" s="32"/>
      <c r="J41" s="32"/>
      <c r="K41" s="32"/>
      <c r="U41" s="32"/>
      <c r="V41" s="32"/>
      <c r="W41" s="32"/>
      <c r="X41" s="32"/>
      <c r="Y41" s="32"/>
      <c r="Z41" s="32"/>
      <c r="AA41" s="32"/>
      <c r="AB41" s="32"/>
      <c r="AC41" s="32"/>
      <c r="AD41" s="32"/>
      <c r="AE41" s="32"/>
      <c r="AF41" s="32"/>
      <c r="AG41" s="32"/>
      <c r="AH41" s="32"/>
      <c r="AI41" s="68"/>
      <c r="AJ41" s="68"/>
      <c r="AK41" s="68"/>
      <c r="AL41" s="86"/>
      <c r="AM41" s="86"/>
      <c r="AN41" s="86"/>
      <c r="AO41" s="86"/>
      <c r="AP41" s="86"/>
      <c r="AQ41" s="86"/>
      <c r="AR41" s="86"/>
      <c r="AS41" s="86"/>
      <c r="AT41" s="86"/>
      <c r="AU41" s="86"/>
      <c r="AV41" s="86"/>
      <c r="AW41" s="86"/>
      <c r="AX41" s="86"/>
      <c r="AY41" s="86"/>
      <c r="AZ41" s="86"/>
      <c r="BA41" s="86"/>
    </row>
    <row r="42" spans="1:53" s="45" customFormat="1" ht="19.5" customHeight="1">
      <c r="A42" s="5"/>
      <c r="B42" s="5"/>
      <c r="C42" s="5"/>
      <c r="D42" s="5"/>
      <c r="E42" s="5"/>
      <c r="F42" s="32"/>
      <c r="G42" s="32"/>
      <c r="H42" s="32"/>
      <c r="I42" s="32"/>
      <c r="J42" s="32"/>
      <c r="K42" s="32"/>
      <c r="AC42" s="32"/>
      <c r="AD42" s="32"/>
      <c r="AE42" s="32"/>
      <c r="AF42" s="32"/>
      <c r="AG42" s="32"/>
      <c r="AH42" s="32"/>
      <c r="AI42" s="68"/>
      <c r="AJ42" s="68"/>
      <c r="AK42" s="68"/>
      <c r="AL42" s="86"/>
      <c r="AM42" s="86"/>
      <c r="AN42" s="86"/>
      <c r="AO42" s="86"/>
      <c r="AP42" s="86"/>
      <c r="AQ42" s="86"/>
      <c r="AR42" s="86"/>
      <c r="AS42" s="86"/>
      <c r="AT42" s="86"/>
      <c r="AU42" s="86"/>
      <c r="AV42" s="86"/>
      <c r="AW42" s="86"/>
      <c r="AX42" s="86"/>
      <c r="AY42" s="86"/>
      <c r="AZ42" s="86"/>
      <c r="BA42" s="86"/>
    </row>
    <row r="43" spans="1:53" s="45" customFormat="1" ht="3.75" customHeight="1">
      <c r="A43" s="5"/>
      <c r="B43" s="5"/>
      <c r="C43" s="5"/>
      <c r="D43" s="5"/>
      <c r="E43" s="5"/>
      <c r="F43" s="32"/>
      <c r="G43" s="32"/>
      <c r="H43" s="32"/>
      <c r="I43" s="32"/>
      <c r="J43" s="32"/>
      <c r="K43" s="32"/>
      <c r="L43" s="32"/>
      <c r="M43" s="32"/>
      <c r="N43" s="32"/>
      <c r="O43" s="32"/>
      <c r="P43" s="32"/>
      <c r="Q43" s="32"/>
      <c r="R43" s="32"/>
      <c r="S43" s="32"/>
      <c r="T43" s="32"/>
      <c r="AC43" s="32"/>
      <c r="AD43" s="32"/>
      <c r="AE43" s="32"/>
      <c r="AF43" s="32"/>
      <c r="AG43" s="32"/>
      <c r="AH43" s="32"/>
      <c r="AI43" s="68"/>
      <c r="AJ43" s="68"/>
      <c r="AK43" s="68"/>
      <c r="AL43" s="86"/>
      <c r="AM43" s="86"/>
      <c r="AN43" s="86"/>
      <c r="AO43" s="86"/>
      <c r="AP43" s="86"/>
      <c r="AQ43" s="86"/>
      <c r="AR43" s="86"/>
      <c r="AS43" s="86"/>
      <c r="AT43" s="86"/>
      <c r="AU43" s="86"/>
      <c r="AV43" s="86"/>
      <c r="AW43" s="86"/>
      <c r="AX43" s="86"/>
      <c r="AY43" s="86"/>
      <c r="AZ43" s="86"/>
      <c r="BA43" s="86"/>
    </row>
    <row r="44" spans="1:53" s="45" customFormat="1" ht="3.75" customHeight="1">
      <c r="A44" s="5"/>
      <c r="B44" s="5"/>
      <c r="C44" s="5"/>
      <c r="D44" s="5"/>
      <c r="E44" s="5"/>
      <c r="F44" s="32"/>
      <c r="G44" s="32"/>
      <c r="H44" s="32"/>
      <c r="I44" s="32"/>
      <c r="J44" s="32"/>
      <c r="K44" s="32"/>
      <c r="L44" s="32"/>
      <c r="M44" s="32"/>
      <c r="N44" s="32"/>
      <c r="O44" s="32"/>
      <c r="P44" s="32"/>
      <c r="Q44" s="32"/>
      <c r="R44" s="32"/>
      <c r="S44" s="32"/>
      <c r="T44" s="32"/>
      <c r="AC44" s="32"/>
      <c r="AD44" s="32"/>
      <c r="AE44" s="32"/>
      <c r="AF44" s="32"/>
      <c r="AG44" s="32"/>
      <c r="AH44" s="32"/>
      <c r="AI44" s="68"/>
      <c r="AJ44" s="68"/>
      <c r="AK44" s="68"/>
      <c r="AL44" s="86"/>
      <c r="AM44" s="86"/>
      <c r="AN44" s="86"/>
      <c r="AO44" s="86"/>
      <c r="AP44" s="86"/>
      <c r="AQ44" s="86"/>
      <c r="AR44" s="86"/>
      <c r="AS44" s="86"/>
      <c r="AT44" s="86"/>
      <c r="AU44" s="86"/>
      <c r="AV44" s="86"/>
      <c r="AW44" s="86"/>
      <c r="AX44" s="86"/>
      <c r="AY44" s="86"/>
      <c r="AZ44" s="86"/>
      <c r="BA44" s="86"/>
    </row>
    <row r="45" spans="1:53" s="45" customFormat="1" ht="19.5" customHeight="1">
      <c r="A45" s="5"/>
      <c r="B45" s="5"/>
      <c r="C45" s="5"/>
      <c r="D45" s="5"/>
      <c r="E45" s="5"/>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68"/>
      <c r="AJ45" s="68"/>
      <c r="AK45" s="68"/>
      <c r="AL45" s="86"/>
      <c r="AM45" s="86"/>
      <c r="AN45" s="86"/>
      <c r="AO45" s="86"/>
      <c r="AP45" s="86"/>
      <c r="AQ45" s="86"/>
      <c r="AR45" s="86"/>
      <c r="AS45" s="86"/>
      <c r="AT45" s="86"/>
      <c r="AU45" s="86"/>
      <c r="AV45" s="86"/>
      <c r="AW45" s="86"/>
      <c r="AX45" s="86"/>
      <c r="AY45" s="86"/>
      <c r="AZ45" s="86"/>
      <c r="BA45" s="86"/>
    </row>
    <row r="46" spans="1:53" s="45" customFormat="1" ht="3.75" customHeight="1">
      <c r="A46" s="5"/>
      <c r="B46" s="5"/>
      <c r="C46" s="5"/>
      <c r="D46" s="5"/>
      <c r="E46" s="5"/>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68"/>
      <c r="AJ46" s="68"/>
      <c r="AK46" s="68"/>
      <c r="AL46" s="86"/>
      <c r="AM46" s="86"/>
      <c r="AN46" s="86"/>
      <c r="AO46" s="86"/>
      <c r="AP46" s="86"/>
      <c r="AQ46" s="86"/>
      <c r="AR46" s="86"/>
      <c r="AS46" s="86"/>
      <c r="AT46" s="86"/>
      <c r="AU46" s="86"/>
      <c r="AV46" s="86"/>
      <c r="AW46" s="86"/>
      <c r="AX46" s="86"/>
      <c r="AY46" s="86"/>
      <c r="AZ46" s="86"/>
      <c r="BA46" s="86"/>
    </row>
    <row r="47" spans="1:53" s="45" customFormat="1" ht="3.75" customHeight="1">
      <c r="A47" s="5"/>
      <c r="B47" s="5"/>
      <c r="C47" s="5"/>
      <c r="D47" s="5"/>
      <c r="E47" s="5"/>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68"/>
      <c r="AJ47" s="68"/>
      <c r="AK47" s="68"/>
      <c r="AL47" s="86"/>
      <c r="AM47" s="86"/>
      <c r="AN47" s="86"/>
      <c r="AO47" s="86"/>
      <c r="AP47" s="86"/>
      <c r="AQ47" s="86"/>
      <c r="AR47" s="86"/>
      <c r="AS47" s="86"/>
      <c r="AT47" s="86"/>
      <c r="AU47" s="86"/>
      <c r="AV47" s="86"/>
      <c r="AW47" s="86"/>
      <c r="AX47" s="86"/>
      <c r="AY47" s="86"/>
      <c r="AZ47" s="86"/>
      <c r="BA47" s="86"/>
    </row>
    <row r="48" spans="1:53" s="45" customFormat="1" ht="19.5" customHeight="1">
      <c r="A48" s="5"/>
      <c r="B48" s="5"/>
      <c r="C48" s="5"/>
      <c r="D48" s="5"/>
      <c r="E48" s="5"/>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68"/>
      <c r="AJ48" s="68"/>
      <c r="AK48" s="68"/>
      <c r="AL48" s="86"/>
      <c r="AM48" s="86"/>
      <c r="AN48" s="86"/>
      <c r="AO48" s="86"/>
      <c r="AP48" s="86"/>
      <c r="AQ48" s="86"/>
      <c r="AR48" s="86"/>
      <c r="AS48" s="86"/>
      <c r="AT48" s="86"/>
      <c r="AU48" s="86"/>
      <c r="AV48" s="86"/>
      <c r="AW48" s="86"/>
      <c r="AX48" s="86"/>
      <c r="AY48" s="86"/>
      <c r="AZ48" s="86"/>
      <c r="BA48" s="86"/>
    </row>
    <row r="49" spans="1:53" s="45" customFormat="1" ht="3.75" customHeight="1">
      <c r="A49" s="5"/>
      <c r="B49" s="5"/>
      <c r="C49" s="5"/>
      <c r="D49" s="5"/>
      <c r="E49" s="5"/>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68"/>
      <c r="AJ49" s="68"/>
      <c r="AK49" s="68"/>
      <c r="AL49" s="86"/>
      <c r="AM49" s="86"/>
      <c r="AN49" s="86"/>
      <c r="AO49" s="86"/>
      <c r="AP49" s="86"/>
      <c r="AQ49" s="86"/>
      <c r="AR49" s="86"/>
      <c r="AS49" s="86"/>
      <c r="AT49" s="86"/>
      <c r="AU49" s="86"/>
      <c r="AV49" s="86"/>
      <c r="AW49" s="86"/>
      <c r="AX49" s="86"/>
      <c r="AY49" s="86"/>
      <c r="AZ49" s="86"/>
      <c r="BA49" s="86"/>
    </row>
    <row r="50" spans="1:53" s="45" customFormat="1" ht="3.75" customHeight="1">
      <c r="A50" s="5"/>
      <c r="B50" s="5"/>
      <c r="C50" s="5"/>
      <c r="D50" s="5"/>
      <c r="E50" s="5"/>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68"/>
      <c r="AJ50" s="68"/>
      <c r="AK50" s="68"/>
      <c r="AL50" s="86"/>
      <c r="AM50" s="86"/>
      <c r="AN50" s="86"/>
      <c r="AO50" s="86"/>
      <c r="AP50" s="86"/>
      <c r="AQ50" s="86"/>
      <c r="AR50" s="86"/>
      <c r="AS50" s="86"/>
      <c r="AT50" s="86"/>
      <c r="AU50" s="86"/>
      <c r="AV50" s="86"/>
      <c r="AW50" s="86"/>
      <c r="AX50" s="86"/>
      <c r="AY50" s="86"/>
      <c r="AZ50" s="86"/>
      <c r="BA50" s="86"/>
    </row>
    <row r="51" spans="1:53" s="45" customFormat="1" ht="19.5" customHeight="1">
      <c r="A51" s="5"/>
      <c r="B51" s="5"/>
      <c r="C51" s="5"/>
      <c r="D51" s="5"/>
      <c r="E51" s="5"/>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68"/>
      <c r="AJ51" s="68"/>
      <c r="AK51" s="68"/>
      <c r="AL51" s="86"/>
      <c r="AM51" s="86"/>
      <c r="AN51" s="86"/>
      <c r="AO51" s="86"/>
      <c r="AP51" s="86"/>
      <c r="AQ51" s="86"/>
      <c r="AR51" s="86"/>
      <c r="AS51" s="86"/>
      <c r="AT51" s="86"/>
      <c r="AU51" s="86"/>
      <c r="AV51" s="86"/>
      <c r="AW51" s="86"/>
      <c r="AX51" s="86"/>
      <c r="AY51" s="86"/>
      <c r="AZ51" s="86"/>
      <c r="BA51" s="86"/>
    </row>
    <row r="52" spans="1:53" s="45" customFormat="1" ht="3.75" customHeight="1">
      <c r="A52" s="5"/>
      <c r="B52" s="5"/>
      <c r="C52" s="5"/>
      <c r="D52" s="5"/>
      <c r="E52" s="5"/>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68"/>
      <c r="AJ52" s="68"/>
      <c r="AK52" s="68"/>
      <c r="AL52" s="86"/>
      <c r="AM52" s="86"/>
      <c r="AN52" s="86"/>
      <c r="AO52" s="86"/>
      <c r="AP52" s="86"/>
      <c r="AQ52" s="86"/>
      <c r="AR52" s="86"/>
      <c r="AS52" s="86"/>
      <c r="AT52" s="86"/>
      <c r="AU52" s="86"/>
      <c r="AV52" s="86"/>
      <c r="AW52" s="86"/>
      <c r="AX52" s="86"/>
      <c r="AY52" s="86"/>
      <c r="AZ52" s="86"/>
      <c r="BA52" s="86"/>
    </row>
    <row r="53" spans="1:53" s="45" customFormat="1" ht="3.75" customHeight="1">
      <c r="A53" s="2"/>
      <c r="B53" s="2"/>
      <c r="C53" s="2"/>
      <c r="D53" s="2"/>
      <c r="E53" s="2"/>
      <c r="F53"/>
      <c r="G53"/>
      <c r="H53"/>
      <c r="I53"/>
      <c r="J53"/>
      <c r="K53"/>
      <c r="L53"/>
      <c r="M53"/>
      <c r="N53"/>
      <c r="O53"/>
      <c r="P53"/>
      <c r="Q53"/>
      <c r="R53"/>
      <c r="S53"/>
      <c r="T53"/>
      <c r="U53"/>
      <c r="V53"/>
      <c r="W53"/>
      <c r="X53"/>
      <c r="Y53"/>
      <c r="Z53"/>
      <c r="AA53"/>
      <c r="AB53"/>
      <c r="AC53"/>
      <c r="AD53"/>
      <c r="AE53"/>
      <c r="AF53"/>
      <c r="AG53"/>
      <c r="AH53"/>
      <c r="AI53" s="68"/>
      <c r="AJ53" s="68"/>
      <c r="AK53" s="68"/>
    </row>
    <row r="54" spans="1:53" s="45" customFormat="1" ht="19.5" customHeight="1">
      <c r="A54" s="2"/>
      <c r="B54" s="2"/>
      <c r="C54" s="2"/>
      <c r="D54" s="2"/>
      <c r="E54" s="2"/>
      <c r="F54"/>
      <c r="G54"/>
      <c r="H54"/>
      <c r="I54"/>
      <c r="J54"/>
      <c r="K54"/>
      <c r="L54"/>
      <c r="M54"/>
      <c r="N54"/>
      <c r="O54"/>
      <c r="P54"/>
      <c r="Q54"/>
      <c r="R54"/>
      <c r="S54"/>
      <c r="T54"/>
      <c r="U54"/>
      <c r="V54"/>
      <c r="W54"/>
      <c r="X54"/>
      <c r="Y54"/>
      <c r="Z54"/>
      <c r="AA54"/>
      <c r="AB54"/>
      <c r="AC54"/>
      <c r="AD54"/>
      <c r="AE54"/>
      <c r="AF54"/>
      <c r="AG54"/>
      <c r="AH54"/>
      <c r="AI54" s="68"/>
      <c r="AJ54" s="68"/>
      <c r="AK54" s="68"/>
    </row>
    <row r="55" spans="1:53" s="45" customFormat="1" ht="3.75" customHeight="1">
      <c r="A55"/>
      <c r="B55"/>
      <c r="C55"/>
      <c r="D55"/>
      <c r="E55"/>
      <c r="F55"/>
      <c r="G55"/>
      <c r="H55"/>
      <c r="I55"/>
      <c r="J55"/>
      <c r="K55"/>
      <c r="L55"/>
      <c r="M55"/>
      <c r="N55"/>
      <c r="O55"/>
      <c r="P55"/>
      <c r="Q55"/>
      <c r="R55"/>
      <c r="S55"/>
      <c r="T55"/>
      <c r="U55"/>
      <c r="V55"/>
      <c r="W55"/>
      <c r="X55"/>
      <c r="Y55"/>
      <c r="Z55"/>
      <c r="AA55"/>
      <c r="AB55"/>
      <c r="AC55"/>
      <c r="AD55"/>
      <c r="AE55"/>
      <c r="AF55"/>
      <c r="AG55"/>
      <c r="AH55"/>
      <c r="AI55" s="68"/>
      <c r="AJ55" s="68"/>
      <c r="AK55" s="68"/>
    </row>
    <row r="56" spans="1:53" s="45" customFormat="1" ht="3.75" customHeight="1">
      <c r="A56"/>
      <c r="B56"/>
      <c r="C56"/>
      <c r="D56"/>
      <c r="E56"/>
      <c r="F56"/>
      <c r="G56"/>
      <c r="H56"/>
      <c r="I56"/>
      <c r="J56"/>
      <c r="K56"/>
      <c r="L56"/>
      <c r="M56"/>
      <c r="N56"/>
      <c r="O56"/>
      <c r="P56"/>
      <c r="Q56"/>
      <c r="R56"/>
      <c r="S56"/>
      <c r="T56"/>
      <c r="U56"/>
      <c r="V56"/>
      <c r="W56"/>
      <c r="X56"/>
      <c r="Y56"/>
      <c r="Z56"/>
      <c r="AA56"/>
      <c r="AB56"/>
      <c r="AC56"/>
      <c r="AD56"/>
      <c r="AE56"/>
      <c r="AF56"/>
      <c r="AG56"/>
      <c r="AH56"/>
      <c r="AI56" s="68"/>
      <c r="AJ56" s="68"/>
      <c r="AK56" s="68"/>
    </row>
    <row r="57" spans="1:53" s="45" customFormat="1" ht="19.5" customHeight="1">
      <c r="A57"/>
      <c r="B57"/>
      <c r="C57"/>
      <c r="D57"/>
      <c r="E57"/>
      <c r="F57"/>
      <c r="G57"/>
      <c r="H57"/>
      <c r="I57"/>
      <c r="J57"/>
      <c r="K57"/>
      <c r="L57"/>
      <c r="M57"/>
      <c r="N57"/>
      <c r="O57"/>
      <c r="P57"/>
      <c r="Q57"/>
      <c r="R57"/>
      <c r="S57"/>
      <c r="T57"/>
      <c r="U57"/>
      <c r="V57"/>
      <c r="W57"/>
      <c r="X57"/>
      <c r="Y57"/>
      <c r="Z57"/>
      <c r="AA57"/>
      <c r="AB57"/>
      <c r="AC57"/>
      <c r="AD57"/>
      <c r="AE57"/>
      <c r="AF57"/>
      <c r="AG57"/>
      <c r="AH57"/>
      <c r="AI57" s="68"/>
      <c r="AJ57" s="68"/>
      <c r="AK57" s="68"/>
    </row>
    <row r="58" spans="1:53" s="45" customFormat="1" ht="3.75" customHeight="1">
      <c r="A58"/>
      <c r="B58"/>
      <c r="C58"/>
      <c r="D58"/>
      <c r="E58"/>
      <c r="F58"/>
      <c r="G58"/>
      <c r="H58"/>
      <c r="I58"/>
      <c r="J58"/>
      <c r="K58"/>
      <c r="L58"/>
      <c r="M58"/>
      <c r="N58"/>
      <c r="O58"/>
      <c r="P58"/>
      <c r="Q58"/>
      <c r="R58"/>
      <c r="S58"/>
      <c r="T58"/>
      <c r="U58"/>
      <c r="V58"/>
      <c r="W58"/>
      <c r="X58"/>
      <c r="Y58"/>
      <c r="Z58"/>
      <c r="AA58"/>
      <c r="AB58"/>
      <c r="AC58"/>
      <c r="AD58"/>
      <c r="AE58"/>
      <c r="AF58"/>
      <c r="AG58"/>
      <c r="AH58"/>
      <c r="AI58" s="68"/>
      <c r="AJ58" s="68"/>
      <c r="AK58" s="68"/>
    </row>
    <row r="59" spans="1:53" s="45" customFormat="1" ht="3.75" customHeight="1">
      <c r="A59"/>
      <c r="B59"/>
      <c r="C59"/>
      <c r="D59"/>
      <c r="E59"/>
      <c r="F59"/>
      <c r="G59"/>
      <c r="H59"/>
      <c r="I59"/>
      <c r="J59"/>
      <c r="K59"/>
      <c r="L59"/>
      <c r="M59"/>
      <c r="N59"/>
      <c r="O59"/>
      <c r="P59"/>
      <c r="Q59"/>
      <c r="R59"/>
      <c r="S59"/>
      <c r="T59"/>
      <c r="U59"/>
      <c r="V59"/>
      <c r="W59"/>
      <c r="X59"/>
      <c r="Y59"/>
      <c r="Z59"/>
      <c r="AA59"/>
      <c r="AB59"/>
      <c r="AC59"/>
      <c r="AD59"/>
      <c r="AE59"/>
      <c r="AF59"/>
      <c r="AG59"/>
      <c r="AH59"/>
      <c r="AI59" s="68"/>
      <c r="AJ59" s="68"/>
      <c r="AK59" s="68"/>
    </row>
    <row r="60" spans="1:53" s="45" customFormat="1" ht="19.5" customHeight="1">
      <c r="A60"/>
      <c r="B60"/>
      <c r="C60"/>
      <c r="D60"/>
      <c r="E60"/>
      <c r="F60"/>
      <c r="G60"/>
      <c r="H60"/>
      <c r="I60"/>
      <c r="J60"/>
      <c r="K60"/>
      <c r="L60"/>
      <c r="M60"/>
      <c r="N60"/>
      <c r="O60"/>
      <c r="P60"/>
      <c r="Q60"/>
      <c r="R60"/>
      <c r="S60"/>
      <c r="T60"/>
      <c r="U60"/>
      <c r="V60"/>
      <c r="W60"/>
      <c r="X60"/>
      <c r="Y60"/>
      <c r="Z60"/>
      <c r="AA60"/>
      <c r="AB60"/>
      <c r="AC60"/>
      <c r="AD60"/>
      <c r="AE60"/>
      <c r="AF60"/>
      <c r="AG60"/>
      <c r="AH60"/>
      <c r="AI60" s="68"/>
      <c r="AJ60" s="68"/>
      <c r="AK60" s="68"/>
    </row>
    <row r="61" spans="1:53" s="45" customFormat="1" ht="3.75" customHeight="1">
      <c r="A61"/>
      <c r="B61"/>
      <c r="C61"/>
      <c r="D61"/>
      <c r="E61"/>
      <c r="F61"/>
      <c r="G61"/>
      <c r="H61"/>
      <c r="I61"/>
      <c r="J61"/>
      <c r="K61"/>
      <c r="L61"/>
      <c r="M61"/>
      <c r="N61"/>
      <c r="O61"/>
      <c r="P61"/>
      <c r="Q61"/>
      <c r="R61"/>
      <c r="S61"/>
      <c r="T61"/>
      <c r="U61"/>
      <c r="V61"/>
      <c r="W61"/>
      <c r="X61"/>
      <c r="Y61"/>
      <c r="Z61"/>
      <c r="AA61"/>
      <c r="AB61"/>
      <c r="AC61"/>
      <c r="AD61"/>
      <c r="AE61"/>
      <c r="AF61"/>
      <c r="AG61"/>
      <c r="AH61"/>
      <c r="AI61" s="68"/>
      <c r="AJ61" s="68"/>
      <c r="AK61" s="68"/>
    </row>
    <row r="62" spans="1:53" s="45" customFormat="1" ht="3.75" customHeight="1">
      <c r="A62"/>
      <c r="B62"/>
      <c r="C62"/>
      <c r="D62"/>
      <c r="E62"/>
      <c r="F62"/>
      <c r="G62"/>
      <c r="H62"/>
      <c r="I62"/>
      <c r="J62"/>
      <c r="K62"/>
      <c r="L62"/>
      <c r="M62"/>
      <c r="N62"/>
      <c r="O62"/>
      <c r="P62"/>
      <c r="Q62"/>
      <c r="R62"/>
      <c r="S62"/>
      <c r="T62"/>
      <c r="U62"/>
      <c r="V62"/>
      <c r="W62"/>
      <c r="X62"/>
      <c r="Y62"/>
      <c r="Z62"/>
      <c r="AA62"/>
      <c r="AB62"/>
      <c r="AC62"/>
      <c r="AD62"/>
      <c r="AE62"/>
      <c r="AF62"/>
      <c r="AG62"/>
      <c r="AH62"/>
      <c r="AI62" s="68"/>
      <c r="AJ62" s="68"/>
      <c r="AK62" s="68"/>
    </row>
    <row r="63" spans="1:53" s="45" customFormat="1" ht="19.5" customHeight="1">
      <c r="A63"/>
      <c r="B63"/>
      <c r="C63"/>
      <c r="D63"/>
      <c r="E63"/>
      <c r="F63"/>
      <c r="G63"/>
      <c r="H63"/>
      <c r="I63"/>
      <c r="J63"/>
      <c r="K63"/>
      <c r="L63"/>
      <c r="M63"/>
      <c r="N63"/>
      <c r="O63"/>
      <c r="P63"/>
      <c r="Q63"/>
      <c r="R63"/>
      <c r="S63"/>
      <c r="T63"/>
      <c r="U63"/>
      <c r="V63"/>
      <c r="W63"/>
      <c r="X63"/>
      <c r="Y63"/>
      <c r="Z63"/>
      <c r="AA63"/>
      <c r="AB63"/>
      <c r="AC63"/>
      <c r="AD63"/>
      <c r="AE63"/>
      <c r="AF63"/>
      <c r="AG63"/>
      <c r="AH63"/>
      <c r="AI63" s="68"/>
      <c r="AJ63" s="68"/>
      <c r="AK63" s="68"/>
    </row>
    <row r="64" spans="1:53" s="45" customFormat="1" ht="3.75" customHeight="1">
      <c r="A64"/>
      <c r="B64"/>
      <c r="C64"/>
      <c r="D64"/>
      <c r="E64"/>
      <c r="F64"/>
      <c r="G64"/>
      <c r="H64"/>
      <c r="I64"/>
      <c r="J64"/>
      <c r="K64"/>
      <c r="L64"/>
      <c r="M64"/>
      <c r="N64"/>
      <c r="O64"/>
      <c r="P64"/>
      <c r="Q64"/>
      <c r="R64"/>
      <c r="S64"/>
      <c r="T64"/>
      <c r="U64"/>
      <c r="V64"/>
      <c r="W64"/>
      <c r="X64"/>
      <c r="Y64"/>
      <c r="Z64"/>
      <c r="AA64"/>
      <c r="AB64"/>
      <c r="AC64"/>
      <c r="AD64"/>
      <c r="AE64"/>
      <c r="AF64"/>
      <c r="AG64"/>
      <c r="AH64"/>
      <c r="AI64" s="68"/>
      <c r="AJ64" s="68"/>
      <c r="AK64" s="68"/>
    </row>
    <row r="65" spans="1:37" s="45" customFormat="1" ht="12" customHeight="1">
      <c r="A65"/>
      <c r="B65"/>
      <c r="C65"/>
      <c r="D65"/>
      <c r="E65"/>
      <c r="F65"/>
      <c r="G65"/>
      <c r="H65"/>
      <c r="I65"/>
      <c r="J65"/>
      <c r="K65"/>
      <c r="L65"/>
      <c r="M65"/>
      <c r="N65"/>
      <c r="O65"/>
      <c r="P65"/>
      <c r="Q65"/>
      <c r="R65"/>
      <c r="S65"/>
      <c r="T65"/>
      <c r="U65"/>
      <c r="V65"/>
      <c r="W65"/>
      <c r="X65"/>
      <c r="Y65"/>
      <c r="Z65"/>
      <c r="AA65"/>
      <c r="AB65"/>
      <c r="AC65"/>
      <c r="AD65"/>
      <c r="AE65"/>
      <c r="AF65"/>
      <c r="AG65"/>
      <c r="AH65"/>
      <c r="AI65" s="68"/>
      <c r="AJ65" s="68"/>
      <c r="AK65" s="68"/>
    </row>
    <row r="66" spans="1:37" s="45" customFormat="1" ht="19.5" customHeight="1">
      <c r="A66"/>
      <c r="B66"/>
      <c r="C66"/>
      <c r="D66"/>
      <c r="E66"/>
      <c r="F66"/>
      <c r="G66"/>
      <c r="H66"/>
      <c r="I66"/>
      <c r="J66"/>
      <c r="K66"/>
      <c r="L66"/>
      <c r="M66"/>
      <c r="N66"/>
      <c r="O66"/>
      <c r="P66"/>
      <c r="Q66"/>
      <c r="R66"/>
      <c r="S66"/>
      <c r="T66"/>
      <c r="U66"/>
      <c r="V66"/>
      <c r="W66"/>
      <c r="X66"/>
      <c r="Y66"/>
      <c r="Z66"/>
      <c r="AA66"/>
      <c r="AB66"/>
      <c r="AC66"/>
      <c r="AD66"/>
      <c r="AE66"/>
      <c r="AF66"/>
      <c r="AG66"/>
      <c r="AH66"/>
      <c r="AI66" s="68"/>
      <c r="AJ66" s="68"/>
      <c r="AK66" s="68"/>
    </row>
    <row r="67" spans="1:37" s="45" customFormat="1" ht="12" customHeight="1">
      <c r="A67"/>
      <c r="B67"/>
      <c r="C67"/>
      <c r="D67"/>
      <c r="E67"/>
      <c r="F67"/>
      <c r="G67"/>
      <c r="H67"/>
      <c r="I67"/>
      <c r="J67"/>
      <c r="K67"/>
      <c r="L67"/>
      <c r="M67"/>
      <c r="N67"/>
      <c r="O67"/>
      <c r="P67"/>
      <c r="Q67"/>
      <c r="R67"/>
      <c r="S67"/>
      <c r="T67"/>
      <c r="U67"/>
      <c r="V67"/>
      <c r="W67"/>
      <c r="X67"/>
      <c r="Y67"/>
      <c r="Z67"/>
      <c r="AA67"/>
      <c r="AB67"/>
      <c r="AC67"/>
      <c r="AD67"/>
      <c r="AE67"/>
      <c r="AF67"/>
      <c r="AG67"/>
      <c r="AH67"/>
      <c r="AI67" s="68"/>
      <c r="AJ67" s="68"/>
      <c r="AK67" s="68"/>
    </row>
    <row r="68" spans="1:37" s="45" customFormat="1" ht="3.75" customHeight="1">
      <c r="A68"/>
      <c r="B68"/>
      <c r="C68"/>
      <c r="D68"/>
      <c r="E68"/>
      <c r="F68"/>
      <c r="G68"/>
      <c r="H68"/>
      <c r="I68"/>
      <c r="J68"/>
      <c r="K68"/>
      <c r="L68"/>
      <c r="M68"/>
      <c r="N68"/>
      <c r="O68"/>
      <c r="P68"/>
      <c r="Q68"/>
      <c r="R68"/>
      <c r="S68"/>
      <c r="T68"/>
      <c r="U68"/>
      <c r="V68"/>
      <c r="W68"/>
      <c r="X68"/>
      <c r="Y68"/>
      <c r="Z68"/>
      <c r="AA68"/>
      <c r="AB68"/>
      <c r="AC68"/>
      <c r="AD68"/>
      <c r="AE68"/>
      <c r="AF68"/>
      <c r="AG68"/>
      <c r="AH68"/>
      <c r="AI68" s="68"/>
      <c r="AJ68" s="68"/>
      <c r="AK68" s="68"/>
    </row>
    <row r="69" spans="1:37" s="45" customFormat="1" ht="19.5" customHeight="1">
      <c r="A69"/>
      <c r="B69"/>
      <c r="C69"/>
      <c r="D69"/>
      <c r="E69"/>
      <c r="F69"/>
      <c r="G69"/>
      <c r="H69"/>
      <c r="I69"/>
      <c r="J69"/>
      <c r="K69"/>
      <c r="L69"/>
      <c r="M69"/>
      <c r="N69"/>
      <c r="O69"/>
      <c r="P69"/>
      <c r="Q69"/>
      <c r="R69"/>
      <c r="S69"/>
      <c r="T69"/>
      <c r="U69"/>
      <c r="V69"/>
      <c r="W69"/>
      <c r="X69"/>
      <c r="Y69"/>
      <c r="Z69"/>
      <c r="AA69"/>
      <c r="AB69"/>
      <c r="AC69"/>
      <c r="AD69"/>
      <c r="AE69"/>
      <c r="AF69"/>
      <c r="AG69"/>
      <c r="AH69"/>
      <c r="AI69" s="68"/>
      <c r="AJ69" s="68"/>
      <c r="AK69" s="68"/>
    </row>
    <row r="70" spans="1:37" s="45" customFormat="1" ht="3.75" customHeight="1">
      <c r="A70"/>
      <c r="B70"/>
      <c r="C70"/>
      <c r="D70"/>
      <c r="E70"/>
      <c r="F70"/>
      <c r="G70"/>
      <c r="H70"/>
      <c r="I70"/>
      <c r="J70"/>
      <c r="K70"/>
      <c r="L70"/>
      <c r="M70"/>
      <c r="N70"/>
      <c r="O70"/>
      <c r="P70"/>
      <c r="Q70"/>
      <c r="R70"/>
      <c r="S70"/>
      <c r="T70"/>
      <c r="U70"/>
      <c r="V70"/>
      <c r="W70"/>
      <c r="X70"/>
      <c r="Y70"/>
      <c r="Z70"/>
      <c r="AA70"/>
      <c r="AB70"/>
      <c r="AC70"/>
      <c r="AD70"/>
      <c r="AE70"/>
      <c r="AF70"/>
      <c r="AG70"/>
      <c r="AH70"/>
      <c r="AI70" s="68"/>
      <c r="AJ70" s="68"/>
      <c r="AK70" s="68"/>
    </row>
    <row r="71" spans="1:37" s="45" customFormat="1" ht="3.75" customHeight="1">
      <c r="A71"/>
      <c r="B71"/>
      <c r="C71"/>
      <c r="D71"/>
      <c r="E71"/>
      <c r="F71"/>
      <c r="G71"/>
      <c r="H71"/>
      <c r="I71"/>
      <c r="J71"/>
      <c r="K71"/>
      <c r="L71"/>
      <c r="M71"/>
      <c r="N71"/>
      <c r="O71"/>
      <c r="P71"/>
      <c r="Q71"/>
      <c r="R71"/>
      <c r="S71"/>
      <c r="T71"/>
      <c r="U71"/>
      <c r="V71"/>
      <c r="W71"/>
      <c r="X71"/>
      <c r="Y71"/>
      <c r="Z71"/>
      <c r="AA71"/>
      <c r="AB71"/>
      <c r="AC71"/>
      <c r="AD71"/>
      <c r="AE71"/>
      <c r="AF71"/>
      <c r="AG71"/>
      <c r="AH71"/>
      <c r="AI71" s="68"/>
      <c r="AJ71" s="68"/>
      <c r="AK71" s="68"/>
    </row>
    <row r="72" spans="1:37" s="45" customFormat="1" ht="19.5" customHeight="1">
      <c r="A72"/>
      <c r="B72"/>
      <c r="C72"/>
      <c r="D72"/>
      <c r="E72"/>
      <c r="F72"/>
      <c r="G72"/>
      <c r="H72"/>
      <c r="I72"/>
      <c r="J72"/>
      <c r="K72"/>
      <c r="L72"/>
      <c r="M72"/>
      <c r="N72"/>
      <c r="O72"/>
      <c r="P72"/>
      <c r="Q72"/>
      <c r="R72"/>
      <c r="S72"/>
      <c r="T72"/>
      <c r="U72"/>
      <c r="V72"/>
      <c r="W72"/>
      <c r="X72"/>
      <c r="Y72"/>
      <c r="Z72"/>
      <c r="AA72"/>
      <c r="AB72"/>
      <c r="AC72"/>
      <c r="AD72"/>
      <c r="AE72"/>
      <c r="AF72"/>
      <c r="AG72"/>
      <c r="AH72"/>
      <c r="AI72" s="68"/>
      <c r="AJ72" s="68"/>
      <c r="AK72" s="68"/>
    </row>
    <row r="73" spans="1:37" s="45" customFormat="1" ht="3.75" customHeight="1">
      <c r="A73"/>
      <c r="B73"/>
      <c r="C73"/>
      <c r="D73"/>
      <c r="E73"/>
      <c r="F73"/>
      <c r="G73"/>
      <c r="H73"/>
      <c r="I73"/>
      <c r="J73"/>
      <c r="K73"/>
      <c r="L73"/>
      <c r="M73"/>
      <c r="N73"/>
      <c r="O73"/>
      <c r="P73"/>
      <c r="Q73"/>
      <c r="R73"/>
      <c r="S73"/>
      <c r="T73"/>
      <c r="U73"/>
      <c r="V73"/>
      <c r="W73"/>
      <c r="X73"/>
      <c r="Y73"/>
      <c r="Z73"/>
      <c r="AA73"/>
      <c r="AB73"/>
      <c r="AC73"/>
      <c r="AD73"/>
      <c r="AE73"/>
      <c r="AF73"/>
      <c r="AG73"/>
      <c r="AH73"/>
      <c r="AI73" s="68"/>
      <c r="AJ73" s="68"/>
      <c r="AK73" s="68"/>
    </row>
    <row r="74" spans="1:37" s="45" customFormat="1" ht="3.75" customHeight="1">
      <c r="A74"/>
      <c r="B74"/>
      <c r="C74"/>
      <c r="D74"/>
      <c r="E74"/>
      <c r="F74"/>
      <c r="G74"/>
      <c r="H74"/>
      <c r="I74"/>
      <c r="J74"/>
      <c r="K74"/>
      <c r="L74"/>
      <c r="M74"/>
      <c r="N74"/>
      <c r="O74"/>
      <c r="P74"/>
      <c r="Q74"/>
      <c r="R74"/>
      <c r="S74"/>
      <c r="T74"/>
      <c r="U74"/>
      <c r="V74"/>
      <c r="W74"/>
      <c r="X74"/>
      <c r="Y74"/>
      <c r="Z74"/>
      <c r="AA74"/>
      <c r="AB74"/>
      <c r="AC74"/>
      <c r="AD74"/>
      <c r="AE74"/>
      <c r="AF74"/>
      <c r="AG74"/>
      <c r="AH74"/>
      <c r="AI74" s="68"/>
      <c r="AJ74" s="68"/>
      <c r="AK74" s="68"/>
    </row>
    <row r="75" spans="1:37" s="45" customFormat="1" ht="19.5" customHeight="1">
      <c r="A75"/>
      <c r="B75"/>
      <c r="C75"/>
      <c r="D75"/>
      <c r="E75"/>
      <c r="F75"/>
      <c r="G75"/>
      <c r="H75"/>
      <c r="I75"/>
      <c r="J75"/>
      <c r="K75"/>
      <c r="L75"/>
      <c r="M75"/>
      <c r="N75"/>
      <c r="O75"/>
      <c r="P75"/>
      <c r="Q75"/>
      <c r="R75"/>
      <c r="S75"/>
      <c r="T75"/>
      <c r="U75"/>
      <c r="V75"/>
      <c r="W75"/>
      <c r="X75"/>
      <c r="Y75"/>
      <c r="Z75"/>
      <c r="AA75"/>
      <c r="AB75"/>
      <c r="AC75"/>
      <c r="AD75"/>
      <c r="AE75"/>
      <c r="AF75"/>
      <c r="AG75"/>
      <c r="AH75"/>
      <c r="AI75" s="68"/>
      <c r="AJ75" s="68"/>
      <c r="AK75" s="68"/>
    </row>
    <row r="76" spans="1:37" s="45" customFormat="1" ht="3.75" customHeight="1">
      <c r="A76"/>
      <c r="B76"/>
      <c r="C76"/>
      <c r="D76"/>
      <c r="E76"/>
      <c r="F76"/>
      <c r="G76"/>
      <c r="H76"/>
      <c r="I76"/>
      <c r="J76"/>
      <c r="K76"/>
      <c r="L76"/>
      <c r="M76"/>
      <c r="N76"/>
      <c r="O76"/>
      <c r="P76"/>
      <c r="Q76"/>
      <c r="R76"/>
      <c r="S76"/>
      <c r="T76"/>
      <c r="U76"/>
      <c r="V76"/>
      <c r="W76"/>
      <c r="X76"/>
      <c r="Y76"/>
      <c r="Z76"/>
      <c r="AA76"/>
      <c r="AB76"/>
      <c r="AC76"/>
      <c r="AD76"/>
      <c r="AE76"/>
      <c r="AF76"/>
      <c r="AG76"/>
      <c r="AH76"/>
      <c r="AI76" s="68"/>
      <c r="AJ76" s="68"/>
      <c r="AK76" s="68"/>
    </row>
    <row r="77" spans="1:37" s="45" customFormat="1" ht="3.75" customHeight="1">
      <c r="A77"/>
      <c r="B77"/>
      <c r="C77"/>
      <c r="D77"/>
      <c r="E77"/>
      <c r="F77"/>
      <c r="G77"/>
      <c r="H77"/>
      <c r="I77"/>
      <c r="J77"/>
      <c r="K77"/>
      <c r="L77"/>
      <c r="M77"/>
      <c r="N77"/>
      <c r="O77"/>
      <c r="P77"/>
      <c r="Q77"/>
      <c r="R77"/>
      <c r="S77"/>
      <c r="T77"/>
      <c r="U77"/>
      <c r="V77"/>
      <c r="W77"/>
      <c r="X77"/>
      <c r="Y77"/>
      <c r="Z77"/>
      <c r="AA77"/>
      <c r="AB77"/>
      <c r="AC77"/>
      <c r="AD77"/>
      <c r="AE77"/>
      <c r="AF77"/>
      <c r="AG77"/>
      <c r="AH77"/>
      <c r="AI77" s="68"/>
      <c r="AJ77" s="68"/>
      <c r="AK77" s="68"/>
    </row>
    <row r="78" spans="1:37" s="45" customFormat="1" ht="19.5" customHeight="1">
      <c r="A78"/>
      <c r="B78"/>
      <c r="C78"/>
      <c r="D78"/>
      <c r="E78"/>
      <c r="F78"/>
      <c r="G78"/>
      <c r="H78"/>
      <c r="I78"/>
      <c r="J78"/>
      <c r="K78"/>
      <c r="L78"/>
      <c r="M78"/>
      <c r="N78"/>
      <c r="O78"/>
      <c r="P78"/>
      <c r="Q78"/>
      <c r="R78"/>
      <c r="S78"/>
      <c r="T78"/>
      <c r="U78"/>
      <c r="V78"/>
      <c r="W78"/>
      <c r="X78"/>
      <c r="Y78"/>
      <c r="Z78"/>
      <c r="AA78"/>
      <c r="AB78"/>
      <c r="AC78"/>
      <c r="AD78"/>
      <c r="AE78"/>
      <c r="AF78"/>
      <c r="AG78"/>
      <c r="AH78"/>
      <c r="AI78" s="68"/>
      <c r="AJ78" s="68"/>
      <c r="AK78" s="68"/>
    </row>
    <row r="79" spans="1:37" s="45" customFormat="1" ht="3.75" customHeight="1">
      <c r="A79"/>
      <c r="B79"/>
      <c r="C79"/>
      <c r="D79"/>
      <c r="E79"/>
      <c r="F79"/>
      <c r="G79"/>
      <c r="H79"/>
      <c r="I79"/>
      <c r="J79"/>
      <c r="K79"/>
      <c r="L79"/>
      <c r="M79"/>
      <c r="N79"/>
      <c r="O79"/>
      <c r="P79"/>
      <c r="Q79"/>
      <c r="R79"/>
      <c r="S79"/>
      <c r="T79"/>
      <c r="U79"/>
      <c r="V79"/>
      <c r="W79"/>
      <c r="X79"/>
      <c r="Y79"/>
      <c r="Z79"/>
      <c r="AA79"/>
      <c r="AB79"/>
      <c r="AC79"/>
      <c r="AD79"/>
      <c r="AE79"/>
      <c r="AF79"/>
      <c r="AG79"/>
      <c r="AH79"/>
      <c r="AI79" s="68"/>
      <c r="AJ79" s="68"/>
      <c r="AK79" s="68"/>
    </row>
    <row r="80" spans="1:37" s="45" customFormat="1" ht="3.75" customHeight="1">
      <c r="A80"/>
      <c r="B80"/>
      <c r="C80"/>
      <c r="D80"/>
      <c r="E80"/>
      <c r="F80"/>
      <c r="G80"/>
      <c r="H80"/>
      <c r="I80"/>
      <c r="J80"/>
      <c r="K80"/>
      <c r="L80"/>
      <c r="M80"/>
      <c r="N80"/>
      <c r="O80"/>
      <c r="P80"/>
      <c r="Q80"/>
      <c r="R80"/>
      <c r="S80"/>
      <c r="T80"/>
      <c r="U80"/>
      <c r="V80"/>
      <c r="W80"/>
      <c r="X80"/>
      <c r="Y80"/>
      <c r="Z80"/>
      <c r="AA80"/>
      <c r="AB80"/>
      <c r="AC80"/>
      <c r="AD80"/>
      <c r="AE80"/>
      <c r="AF80"/>
      <c r="AG80"/>
      <c r="AH80"/>
      <c r="AI80" s="68"/>
      <c r="AJ80" s="68"/>
      <c r="AK80" s="68"/>
    </row>
    <row r="81" spans="1:37" s="45" customFormat="1" ht="19.5" customHeight="1">
      <c r="A81"/>
      <c r="B81"/>
      <c r="C81"/>
      <c r="D81"/>
      <c r="E81"/>
      <c r="F81"/>
      <c r="G81"/>
      <c r="H81"/>
      <c r="I81"/>
      <c r="J81"/>
      <c r="K81"/>
      <c r="L81"/>
      <c r="M81"/>
      <c r="N81"/>
      <c r="O81"/>
      <c r="P81"/>
      <c r="Q81"/>
      <c r="R81"/>
      <c r="S81"/>
      <c r="T81"/>
      <c r="U81"/>
      <c r="V81"/>
      <c r="W81"/>
      <c r="X81"/>
      <c r="Y81"/>
      <c r="Z81"/>
      <c r="AA81"/>
      <c r="AB81"/>
      <c r="AC81"/>
      <c r="AD81"/>
      <c r="AE81"/>
      <c r="AF81"/>
      <c r="AG81"/>
      <c r="AH81"/>
      <c r="AI81" s="68"/>
      <c r="AJ81" s="68"/>
      <c r="AK81" s="68"/>
    </row>
    <row r="82" spans="1:37" s="45" customFormat="1" ht="3.75" customHeight="1">
      <c r="A82"/>
      <c r="B82"/>
      <c r="C82"/>
      <c r="D82"/>
      <c r="E82"/>
      <c r="F82"/>
      <c r="G82"/>
      <c r="H82"/>
      <c r="I82"/>
      <c r="J82"/>
      <c r="K82"/>
      <c r="L82"/>
      <c r="M82"/>
      <c r="N82"/>
      <c r="O82"/>
      <c r="P82"/>
      <c r="Q82"/>
      <c r="R82"/>
      <c r="S82"/>
      <c r="T82"/>
      <c r="U82"/>
      <c r="V82"/>
      <c r="W82"/>
      <c r="X82"/>
      <c r="Y82"/>
      <c r="Z82"/>
      <c r="AA82"/>
      <c r="AB82"/>
      <c r="AC82"/>
      <c r="AD82"/>
      <c r="AE82"/>
      <c r="AF82"/>
      <c r="AG82"/>
      <c r="AH82"/>
      <c r="AI82" s="68"/>
      <c r="AJ82" s="68"/>
      <c r="AK82" s="68"/>
    </row>
    <row r="83" spans="1:37" s="45" customFormat="1" ht="3.75" customHeight="1">
      <c r="A83"/>
      <c r="B83"/>
      <c r="C83"/>
      <c r="D83"/>
      <c r="E83"/>
      <c r="F83"/>
      <c r="G83"/>
      <c r="H83"/>
      <c r="I83"/>
      <c r="J83"/>
      <c r="K83"/>
      <c r="L83"/>
      <c r="M83"/>
      <c r="N83"/>
      <c r="O83"/>
      <c r="P83"/>
      <c r="Q83"/>
      <c r="R83"/>
      <c r="S83"/>
      <c r="T83"/>
      <c r="U83"/>
      <c r="V83"/>
      <c r="W83"/>
      <c r="X83"/>
      <c r="Y83"/>
      <c r="Z83"/>
      <c r="AA83"/>
      <c r="AB83"/>
      <c r="AC83"/>
      <c r="AD83"/>
      <c r="AE83"/>
      <c r="AF83"/>
      <c r="AG83"/>
      <c r="AH83"/>
      <c r="AI83" s="68"/>
      <c r="AJ83" s="68"/>
      <c r="AK83" s="68"/>
    </row>
    <row r="84" spans="1:37" s="45" customFormat="1" ht="19.5" customHeight="1">
      <c r="A84"/>
      <c r="B84"/>
      <c r="C84"/>
      <c r="D84"/>
      <c r="E84"/>
      <c r="F84"/>
      <c r="G84"/>
      <c r="H84"/>
      <c r="I84"/>
      <c r="J84"/>
      <c r="K84"/>
      <c r="L84"/>
      <c r="M84"/>
      <c r="N84"/>
      <c r="O84"/>
      <c r="P84"/>
      <c r="Q84"/>
      <c r="R84"/>
      <c r="S84"/>
      <c r="T84"/>
      <c r="U84"/>
      <c r="V84"/>
      <c r="W84"/>
      <c r="X84"/>
      <c r="Y84"/>
      <c r="Z84"/>
      <c r="AA84"/>
      <c r="AB84"/>
      <c r="AC84"/>
      <c r="AD84"/>
      <c r="AE84"/>
      <c r="AF84"/>
      <c r="AG84"/>
      <c r="AH84"/>
      <c r="AI84" s="68"/>
      <c r="AJ84" s="68"/>
      <c r="AK84" s="68"/>
    </row>
    <row r="85" spans="1:37" s="45" customFormat="1" ht="3.75" customHeight="1">
      <c r="A85"/>
      <c r="B85"/>
      <c r="C85"/>
      <c r="D85"/>
      <c r="E85"/>
      <c r="F85"/>
      <c r="G85"/>
      <c r="H85"/>
      <c r="I85"/>
      <c r="J85"/>
      <c r="K85"/>
      <c r="L85"/>
      <c r="M85"/>
      <c r="N85"/>
      <c r="O85"/>
      <c r="P85"/>
      <c r="Q85"/>
      <c r="R85"/>
      <c r="S85"/>
      <c r="T85"/>
      <c r="U85"/>
      <c r="V85"/>
      <c r="W85"/>
      <c r="X85"/>
      <c r="Y85"/>
      <c r="Z85"/>
      <c r="AA85"/>
      <c r="AB85"/>
      <c r="AC85"/>
      <c r="AD85"/>
      <c r="AE85"/>
      <c r="AF85"/>
      <c r="AG85"/>
      <c r="AH85"/>
      <c r="AI85" s="68"/>
      <c r="AJ85" s="68"/>
      <c r="AK85" s="68"/>
    </row>
    <row r="86" spans="1:37" s="45" customFormat="1" ht="3.75" customHeight="1">
      <c r="A86"/>
      <c r="B86"/>
      <c r="C86"/>
      <c r="D86"/>
      <c r="E86"/>
      <c r="F86"/>
      <c r="G86"/>
      <c r="H86"/>
      <c r="I86"/>
      <c r="J86"/>
      <c r="K86"/>
      <c r="L86"/>
      <c r="M86"/>
      <c r="N86"/>
      <c r="O86"/>
      <c r="P86"/>
      <c r="Q86"/>
      <c r="R86"/>
      <c r="S86"/>
      <c r="T86"/>
      <c r="U86"/>
      <c r="V86"/>
      <c r="W86"/>
      <c r="X86"/>
      <c r="Y86"/>
      <c r="Z86"/>
      <c r="AA86"/>
      <c r="AB86"/>
      <c r="AC86"/>
      <c r="AD86"/>
      <c r="AE86"/>
      <c r="AF86"/>
      <c r="AG86"/>
      <c r="AH86"/>
      <c r="AI86" s="68"/>
      <c r="AJ86" s="68"/>
      <c r="AK86" s="68"/>
    </row>
    <row r="87" spans="1:37" s="45" customFormat="1" ht="19.5" customHeight="1">
      <c r="A87"/>
      <c r="B87"/>
      <c r="C87"/>
      <c r="D87"/>
      <c r="E87"/>
      <c r="F87"/>
      <c r="G87"/>
      <c r="H87"/>
      <c r="I87"/>
      <c r="J87"/>
      <c r="K87"/>
      <c r="L87"/>
      <c r="M87"/>
      <c r="N87"/>
      <c r="O87"/>
      <c r="P87"/>
      <c r="Q87"/>
      <c r="R87"/>
      <c r="S87"/>
      <c r="T87"/>
      <c r="U87"/>
      <c r="V87"/>
      <c r="W87"/>
      <c r="X87"/>
      <c r="Y87"/>
      <c r="Z87"/>
      <c r="AA87"/>
      <c r="AB87"/>
      <c r="AC87"/>
      <c r="AD87"/>
      <c r="AE87"/>
      <c r="AF87"/>
      <c r="AG87"/>
      <c r="AH87"/>
      <c r="AI87" s="67"/>
      <c r="AJ87" s="67"/>
      <c r="AK87" s="67"/>
    </row>
    <row r="88" spans="1:37" ht="3.75" customHeight="1"/>
    <row r="89" spans="1:37" s="45" customFormat="1" ht="18" customHeight="1">
      <c r="A89"/>
      <c r="B89"/>
      <c r="C89"/>
      <c r="D89"/>
      <c r="E89"/>
      <c r="F89"/>
      <c r="G89"/>
      <c r="H89"/>
      <c r="I89"/>
      <c r="J89"/>
      <c r="K89"/>
      <c r="L89"/>
      <c r="M89"/>
      <c r="N89"/>
      <c r="O89"/>
      <c r="P89"/>
      <c r="Q89"/>
      <c r="R89"/>
      <c r="S89"/>
      <c r="T89"/>
      <c r="U89"/>
      <c r="V89"/>
      <c r="W89"/>
      <c r="X89"/>
      <c r="Y89"/>
      <c r="Z89"/>
      <c r="AA89"/>
      <c r="AB89"/>
      <c r="AC89"/>
      <c r="AD89"/>
      <c r="AE89"/>
      <c r="AF89"/>
      <c r="AG89"/>
      <c r="AH89"/>
      <c r="AI89" s="67"/>
      <c r="AJ89" s="67"/>
      <c r="AK89" s="67"/>
    </row>
    <row r="90" spans="1:37" s="45" customFormat="1" ht="14.25" customHeight="1">
      <c r="A90"/>
      <c r="B90"/>
      <c r="C90"/>
      <c r="D90"/>
      <c r="E90"/>
      <c r="F90"/>
      <c r="G90"/>
      <c r="H90"/>
      <c r="I90"/>
      <c r="J90"/>
      <c r="K90"/>
      <c r="L90"/>
      <c r="M90"/>
      <c r="N90"/>
      <c r="O90"/>
      <c r="P90"/>
      <c r="Q90"/>
      <c r="R90"/>
      <c r="S90"/>
      <c r="T90"/>
      <c r="U90"/>
      <c r="V90"/>
      <c r="W90"/>
      <c r="X90"/>
      <c r="Y90"/>
      <c r="Z90"/>
      <c r="AA90"/>
      <c r="AB90"/>
      <c r="AC90"/>
      <c r="AD90"/>
      <c r="AE90"/>
      <c r="AF90"/>
      <c r="AG90"/>
      <c r="AH90"/>
      <c r="AI90" s="67"/>
      <c r="AJ90" s="67"/>
      <c r="AK90" s="67"/>
    </row>
    <row r="91" spans="1:37" s="45" customFormat="1" ht="14.25" customHeight="1">
      <c r="A91"/>
      <c r="B91"/>
      <c r="C91"/>
      <c r="D91"/>
      <c r="E91"/>
      <c r="F91"/>
      <c r="G91"/>
      <c r="H91"/>
      <c r="I91"/>
      <c r="J91"/>
      <c r="K91"/>
      <c r="L91"/>
      <c r="M91"/>
      <c r="N91"/>
      <c r="O91"/>
      <c r="P91"/>
      <c r="Q91"/>
      <c r="R91"/>
      <c r="S91"/>
      <c r="T91"/>
      <c r="U91"/>
      <c r="V91"/>
      <c r="W91"/>
      <c r="X91"/>
      <c r="Y91"/>
      <c r="Z91"/>
      <c r="AA91"/>
      <c r="AB91"/>
      <c r="AC91"/>
      <c r="AD91"/>
      <c r="AE91"/>
      <c r="AF91"/>
      <c r="AG91"/>
      <c r="AH91"/>
      <c r="AI91" s="67"/>
      <c r="AJ91" s="67"/>
      <c r="AK91" s="67"/>
    </row>
    <row r="92" spans="1:37" s="45" customFormat="1" ht="14.25" customHeight="1">
      <c r="A92"/>
      <c r="B92"/>
      <c r="C92"/>
      <c r="D92"/>
      <c r="E92"/>
      <c r="F92"/>
      <c r="G92"/>
      <c r="H92"/>
      <c r="I92"/>
      <c r="J92"/>
      <c r="K92"/>
      <c r="L92"/>
      <c r="M92"/>
      <c r="N92"/>
      <c r="O92"/>
      <c r="P92"/>
      <c r="Q92"/>
      <c r="R92"/>
      <c r="S92"/>
      <c r="T92"/>
      <c r="U92"/>
      <c r="V92"/>
      <c r="W92"/>
      <c r="X92"/>
      <c r="Y92"/>
      <c r="Z92"/>
      <c r="AA92"/>
      <c r="AB92"/>
      <c r="AC92"/>
      <c r="AD92"/>
      <c r="AE92"/>
      <c r="AF92"/>
      <c r="AG92"/>
      <c r="AH92"/>
      <c r="AI92" s="67"/>
      <c r="AJ92" s="67"/>
      <c r="AK92" s="67"/>
    </row>
    <row r="93" spans="1:37" s="45" customFormat="1" ht="14.25" customHeight="1">
      <c r="A93"/>
      <c r="B93"/>
      <c r="C93"/>
      <c r="D93"/>
      <c r="E93"/>
      <c r="F93"/>
      <c r="G93"/>
      <c r="H93"/>
      <c r="I93"/>
      <c r="J93"/>
      <c r="K93"/>
      <c r="L93"/>
      <c r="M93"/>
      <c r="N93"/>
      <c r="O93"/>
      <c r="P93"/>
      <c r="Q93"/>
      <c r="R93"/>
      <c r="S93"/>
      <c r="T93"/>
      <c r="U93"/>
      <c r="V93"/>
      <c r="W93"/>
      <c r="X93"/>
      <c r="Y93"/>
      <c r="Z93"/>
      <c r="AA93"/>
      <c r="AB93"/>
      <c r="AC93"/>
      <c r="AD93"/>
      <c r="AE93"/>
      <c r="AF93"/>
      <c r="AG93"/>
      <c r="AH93"/>
      <c r="AI93" s="67"/>
      <c r="AJ93" s="67"/>
      <c r="AK93" s="67"/>
    </row>
    <row r="94" spans="1:37" s="45" customFormat="1" ht="14.25" customHeight="1">
      <c r="A94"/>
      <c r="B94"/>
      <c r="C94"/>
      <c r="D94"/>
      <c r="E94"/>
      <c r="F94"/>
      <c r="G94"/>
      <c r="H94"/>
      <c r="I94"/>
      <c r="J94"/>
      <c r="K94"/>
      <c r="L94"/>
      <c r="M94"/>
      <c r="N94"/>
      <c r="O94"/>
      <c r="P94"/>
      <c r="Q94"/>
      <c r="R94"/>
      <c r="S94"/>
      <c r="T94"/>
      <c r="U94"/>
      <c r="V94"/>
      <c r="W94"/>
      <c r="X94"/>
      <c r="Y94"/>
      <c r="Z94"/>
      <c r="AA94"/>
      <c r="AB94"/>
      <c r="AC94"/>
      <c r="AD94"/>
      <c r="AE94"/>
      <c r="AF94"/>
      <c r="AG94"/>
      <c r="AH94"/>
      <c r="AI94" s="67"/>
      <c r="AJ94" s="67"/>
      <c r="AK94" s="67"/>
    </row>
    <row r="95" spans="1:37" s="45" customFormat="1" ht="14.25" customHeight="1">
      <c r="A95"/>
      <c r="B95"/>
      <c r="C95"/>
      <c r="D95"/>
      <c r="E95"/>
      <c r="F95"/>
      <c r="G95"/>
      <c r="H95"/>
      <c r="I95"/>
      <c r="J95"/>
      <c r="K95"/>
      <c r="L95"/>
      <c r="M95"/>
      <c r="N95"/>
      <c r="O95"/>
      <c r="P95"/>
      <c r="Q95"/>
      <c r="R95"/>
      <c r="S95"/>
      <c r="T95"/>
      <c r="U95"/>
      <c r="V95"/>
      <c r="W95"/>
      <c r="X95"/>
      <c r="Y95"/>
      <c r="Z95"/>
      <c r="AA95"/>
      <c r="AB95"/>
      <c r="AC95"/>
      <c r="AD95"/>
      <c r="AE95"/>
      <c r="AF95"/>
      <c r="AG95"/>
      <c r="AH95"/>
      <c r="AI95" s="67"/>
      <c r="AJ95" s="67"/>
      <c r="AK95" s="67"/>
    </row>
    <row r="96" spans="1:37" s="45" customFormat="1" ht="14.25" customHeight="1">
      <c r="A96"/>
      <c r="B96"/>
      <c r="C96"/>
      <c r="D96"/>
      <c r="E96"/>
      <c r="F96"/>
      <c r="G96"/>
      <c r="H96"/>
      <c r="I96"/>
      <c r="J96"/>
      <c r="K96"/>
      <c r="L96"/>
      <c r="M96"/>
      <c r="N96"/>
      <c r="O96"/>
      <c r="P96"/>
      <c r="Q96"/>
      <c r="R96"/>
      <c r="S96"/>
      <c r="T96"/>
      <c r="U96"/>
      <c r="V96"/>
      <c r="W96"/>
      <c r="X96"/>
      <c r="Y96"/>
      <c r="Z96"/>
      <c r="AA96"/>
      <c r="AB96"/>
      <c r="AC96"/>
      <c r="AD96"/>
      <c r="AE96"/>
      <c r="AF96"/>
      <c r="AG96"/>
      <c r="AH96"/>
      <c r="AI96" s="67"/>
      <c r="AJ96" s="67"/>
      <c r="AK96" s="67"/>
    </row>
    <row r="97" ht="7.5" customHeight="1"/>
    <row r="99" ht="18" customHeight="1"/>
    <row r="100" ht="24" customHeight="1"/>
  </sheetData>
  <sheetProtection algorithmName="SHA-512" hashValue="7zdzOPEYGAqhqSYoL9sO05wYo5wAabULkQl/em5ooMXaotnjZTr16XMfvuiZveW9h3mxBTTsBd+3NDREukH6lg==" saltValue="rRajDolcp5FMTtKVVked1A==" spinCount="100000" sheet="1" objects="1" scenarios="1" formatCells="0" formatColumns="0" formatRows="0" insertColumns="0" insertRows="0" deleteColumns="0" deleteRows="0" selectLockedCells="1"/>
  <mergeCells count="142">
    <mergeCell ref="A6:T9"/>
    <mergeCell ref="U6:AH6"/>
    <mergeCell ref="U7:AH7"/>
    <mergeCell ref="U8:AH8"/>
    <mergeCell ref="U9:AH9"/>
    <mergeCell ref="U1:AF3"/>
    <mergeCell ref="A4:G4"/>
    <mergeCell ref="H4:T4"/>
    <mergeCell ref="U4:X4"/>
    <mergeCell ref="Y4:AH4"/>
    <mergeCell ref="A5:J5"/>
    <mergeCell ref="K5:T5"/>
    <mergeCell ref="U5:Y5"/>
    <mergeCell ref="Z5:AH5"/>
    <mergeCell ref="A21:H21"/>
    <mergeCell ref="A22:H22"/>
    <mergeCell ref="A23:H23"/>
    <mergeCell ref="AD13:AG14"/>
    <mergeCell ref="AH11:AH17"/>
    <mergeCell ref="A11:H17"/>
    <mergeCell ref="I11:J17"/>
    <mergeCell ref="K11:Q17"/>
    <mergeCell ref="R11:U17"/>
    <mergeCell ref="V11:X17"/>
    <mergeCell ref="Y11:AA17"/>
    <mergeCell ref="AB11:AC17"/>
    <mergeCell ref="AD11:AG12"/>
    <mergeCell ref="K19:Q19"/>
    <mergeCell ref="R19:U19"/>
    <mergeCell ref="R20:U20"/>
    <mergeCell ref="V19:X19"/>
    <mergeCell ref="Y19:AA19"/>
    <mergeCell ref="AB19:AC19"/>
    <mergeCell ref="AB20:AC20"/>
    <mergeCell ref="AB21:AC21"/>
    <mergeCell ref="AB22:AC22"/>
    <mergeCell ref="AB23:AC23"/>
    <mergeCell ref="R21:U21"/>
    <mergeCell ref="A30:H30"/>
    <mergeCell ref="A31:H31"/>
    <mergeCell ref="A32:H32"/>
    <mergeCell ref="I19:J19"/>
    <mergeCell ref="I20:J20"/>
    <mergeCell ref="I21:J21"/>
    <mergeCell ref="I22:J22"/>
    <mergeCell ref="I23:J23"/>
    <mergeCell ref="I24:J24"/>
    <mergeCell ref="I25:J25"/>
    <mergeCell ref="I26:J26"/>
    <mergeCell ref="I27:J27"/>
    <mergeCell ref="I29:J29"/>
    <mergeCell ref="I30:J30"/>
    <mergeCell ref="I31:J31"/>
    <mergeCell ref="I32:J32"/>
    <mergeCell ref="A24:H24"/>
    <mergeCell ref="A25:H25"/>
    <mergeCell ref="A26:H26"/>
    <mergeCell ref="A27:H27"/>
    <mergeCell ref="A29:H29"/>
    <mergeCell ref="A28:H28"/>
    <mergeCell ref="A19:H19"/>
    <mergeCell ref="A20:H20"/>
    <mergeCell ref="K32:Q32"/>
    <mergeCell ref="K20:Q20"/>
    <mergeCell ref="K21:Q21"/>
    <mergeCell ref="K22:Q22"/>
    <mergeCell ref="K23:Q23"/>
    <mergeCell ref="K24:Q24"/>
    <mergeCell ref="K25:Q25"/>
    <mergeCell ref="K26:Q26"/>
    <mergeCell ref="K27:Q27"/>
    <mergeCell ref="K29:Q29"/>
    <mergeCell ref="K30:Q30"/>
    <mergeCell ref="K31:Q31"/>
    <mergeCell ref="R22:U22"/>
    <mergeCell ref="R23:U23"/>
    <mergeCell ref="R24:U24"/>
    <mergeCell ref="R25:U25"/>
    <mergeCell ref="R26:U26"/>
    <mergeCell ref="R27:U27"/>
    <mergeCell ref="R29:U29"/>
    <mergeCell ref="R30:U30"/>
    <mergeCell ref="V20:X20"/>
    <mergeCell ref="V21:X21"/>
    <mergeCell ref="V22:X22"/>
    <mergeCell ref="V23:X23"/>
    <mergeCell ref="V24:X24"/>
    <mergeCell ref="V25:X25"/>
    <mergeCell ref="V26:X26"/>
    <mergeCell ref="V27:X27"/>
    <mergeCell ref="V29:X29"/>
    <mergeCell ref="Y20:AA20"/>
    <mergeCell ref="Y21:AA21"/>
    <mergeCell ref="Y22:AA22"/>
    <mergeCell ref="Y23:AA23"/>
    <mergeCell ref="Y24:AA24"/>
    <mergeCell ref="Y25:AA25"/>
    <mergeCell ref="Y26:AA26"/>
    <mergeCell ref="Y27:AA27"/>
    <mergeCell ref="Y29:AA29"/>
    <mergeCell ref="AB24:AC24"/>
    <mergeCell ref="AB25:AC25"/>
    <mergeCell ref="AB26:AC26"/>
    <mergeCell ref="AB27:AC27"/>
    <mergeCell ref="AD19:AG19"/>
    <mergeCell ref="AD32:AG32"/>
    <mergeCell ref="AD20:AG20"/>
    <mergeCell ref="AD21:AG21"/>
    <mergeCell ref="AD22:AG22"/>
    <mergeCell ref="AD23:AG23"/>
    <mergeCell ref="AD24:AG24"/>
    <mergeCell ref="AD25:AG25"/>
    <mergeCell ref="AD26:AG26"/>
    <mergeCell ref="AD27:AG27"/>
    <mergeCell ref="AD29:AG29"/>
    <mergeCell ref="AD30:AG30"/>
    <mergeCell ref="AD31:AG31"/>
    <mergeCell ref="AD28:AG28"/>
    <mergeCell ref="AG34:AH34"/>
    <mergeCell ref="AG35:AH36"/>
    <mergeCell ref="M34:W34"/>
    <mergeCell ref="M35:W36"/>
    <mergeCell ref="X34:AF34"/>
    <mergeCell ref="X35:AF36"/>
    <mergeCell ref="I28:J28"/>
    <mergeCell ref="K28:Q28"/>
    <mergeCell ref="R28:U28"/>
    <mergeCell ref="V28:X28"/>
    <mergeCell ref="Y28:AA28"/>
    <mergeCell ref="AB32:AC32"/>
    <mergeCell ref="AB29:AC29"/>
    <mergeCell ref="AB30:AC30"/>
    <mergeCell ref="AB31:AC31"/>
    <mergeCell ref="AB28:AC28"/>
    <mergeCell ref="Y32:AA32"/>
    <mergeCell ref="Y30:AA30"/>
    <mergeCell ref="Y31:AA31"/>
    <mergeCell ref="V32:X32"/>
    <mergeCell ref="V30:X30"/>
    <mergeCell ref="V31:X31"/>
    <mergeCell ref="R32:U32"/>
    <mergeCell ref="R31:U31"/>
  </mergeCells>
  <printOptions horizontalCentered="1"/>
  <pageMargins left="0.6692913385826772" right="0.59055118110236227" top="0.98425196850393704" bottom="0.6692913385826772" header="0.31496062992125984" footer="0.31496062992125984"/>
  <pageSetup paperSize="9" scale="70" orientation="portrait" r:id="rId1"/>
  <headerFooter>
    <oddHeader>&amp;R&amp;G</oddHeader>
    <oddFooter>&amp;LMHG-PU-F-0018&amp;CPPAP Template ; Rev.: 01/2019&amp;RJ.-U. Liedtke / PU-SD-GA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L37"/>
  <sheetViews>
    <sheetView showGridLines="0" zoomScaleNormal="100" workbookViewId="0">
      <selection activeCell="Q7" sqref="Q7:AD7"/>
    </sheetView>
  </sheetViews>
  <sheetFormatPr baseColWidth="10" defaultColWidth="9.140625" defaultRowHeight="12.75"/>
  <cols>
    <col min="1" max="1" width="5.42578125" customWidth="1"/>
    <col min="2" max="2" width="3.28515625" customWidth="1"/>
    <col min="3" max="6" width="3.42578125" customWidth="1"/>
    <col min="7" max="7" width="6.42578125" customWidth="1"/>
    <col min="8" max="8" width="2.5703125" customWidth="1"/>
    <col min="9" max="9" width="2.140625" customWidth="1"/>
    <col min="10" max="10" width="3.42578125" customWidth="1"/>
    <col min="11" max="11" width="2.42578125" customWidth="1"/>
    <col min="12" max="14" width="3.42578125" customWidth="1"/>
    <col min="15" max="15" width="6.28515625" customWidth="1"/>
    <col min="16" max="17" width="8" customWidth="1"/>
    <col min="18" max="18" width="2.7109375" customWidth="1"/>
    <col min="19" max="22" width="3.42578125" customWidth="1"/>
    <col min="23" max="23" width="1.7109375" customWidth="1"/>
    <col min="24" max="26" width="3.42578125" customWidth="1"/>
    <col min="27" max="27" width="2.7109375" customWidth="1"/>
    <col min="28" max="28" width="6.42578125" customWidth="1"/>
    <col min="29" max="29" width="4.7109375" customWidth="1"/>
    <col min="30" max="30" width="13.85546875" customWidth="1"/>
  </cols>
  <sheetData>
    <row r="1" spans="1:38" ht="12.75" customHeight="1">
      <c r="A1" s="46"/>
      <c r="B1" s="46"/>
      <c r="C1" s="46"/>
      <c r="D1" s="46"/>
      <c r="E1" s="46"/>
      <c r="F1" s="46"/>
      <c r="G1" s="46"/>
      <c r="H1" s="46"/>
      <c r="I1" s="46"/>
      <c r="J1" s="46"/>
      <c r="K1" s="46"/>
      <c r="L1" s="46"/>
      <c r="M1" s="46"/>
      <c r="N1" s="46"/>
      <c r="O1" s="559" t="str">
        <f>VLOOKUP("ppameasurementequipment",Translations!$A:$T,MATCH(PSW!AO7,Translations!A1:P1,0),0)</f>
        <v>Production Part Approval 
List of Measurement Equipment</v>
      </c>
      <c r="P1" s="559"/>
      <c r="Q1" s="559"/>
      <c r="R1" s="559"/>
      <c r="S1" s="559"/>
      <c r="T1" s="559"/>
      <c r="U1" s="559"/>
      <c r="V1" s="559"/>
      <c r="W1" s="559"/>
      <c r="X1" s="559"/>
      <c r="Y1" s="559"/>
      <c r="Z1" s="559"/>
      <c r="AA1" s="559"/>
      <c r="AB1" s="559"/>
      <c r="AC1" s="559"/>
      <c r="AD1" s="559"/>
    </row>
    <row r="2" spans="1:38" ht="12.75" customHeight="1">
      <c r="A2" s="46"/>
      <c r="B2" s="46"/>
      <c r="C2" s="46"/>
      <c r="D2" s="46"/>
      <c r="E2" s="46"/>
      <c r="F2" s="46"/>
      <c r="G2" s="46"/>
      <c r="H2" s="46"/>
      <c r="I2" s="46"/>
      <c r="J2" s="46"/>
      <c r="K2" s="46"/>
      <c r="L2" s="46"/>
      <c r="M2" s="46"/>
      <c r="N2" s="46"/>
      <c r="O2" s="559"/>
      <c r="P2" s="559"/>
      <c r="Q2" s="559"/>
      <c r="R2" s="559"/>
      <c r="S2" s="559"/>
      <c r="T2" s="559"/>
      <c r="U2" s="559"/>
      <c r="V2" s="559"/>
      <c r="W2" s="559"/>
      <c r="X2" s="559"/>
      <c r="Y2" s="559"/>
      <c r="Z2" s="559"/>
      <c r="AA2" s="559"/>
      <c r="AB2" s="559"/>
      <c r="AC2" s="559"/>
      <c r="AD2" s="559"/>
    </row>
    <row r="3" spans="1:38" ht="13.5" customHeight="1" thickBot="1">
      <c r="A3" s="47"/>
      <c r="B3" s="47"/>
      <c r="C3" s="47"/>
      <c r="D3" s="47"/>
      <c r="E3" s="47"/>
      <c r="F3" s="47"/>
      <c r="G3" s="47"/>
      <c r="H3" s="47"/>
      <c r="I3" s="47"/>
      <c r="J3" s="47"/>
      <c r="K3" s="47"/>
      <c r="L3" s="47"/>
      <c r="M3" s="47"/>
      <c r="N3" s="47"/>
      <c r="O3" s="560"/>
      <c r="P3" s="560"/>
      <c r="Q3" s="560"/>
      <c r="R3" s="560"/>
      <c r="S3" s="560"/>
      <c r="T3" s="560"/>
      <c r="U3" s="560"/>
      <c r="V3" s="560"/>
      <c r="W3" s="560"/>
      <c r="X3" s="560"/>
      <c r="Y3" s="560"/>
      <c r="Z3" s="560"/>
      <c r="AA3" s="560"/>
      <c r="AB3" s="560"/>
      <c r="AC3" s="560"/>
      <c r="AD3" s="560"/>
    </row>
    <row r="4" spans="1:38" ht="13.5" customHeight="1">
      <c r="A4" s="495" t="str">
        <f>'MAT Test'!A4</f>
        <v>ORGANIZATION:</v>
      </c>
      <c r="B4" s="496"/>
      <c r="C4" s="496"/>
      <c r="D4" s="496"/>
      <c r="E4" s="569" t="str">
        <f>'DIM Test'!E4</f>
        <v>?</v>
      </c>
      <c r="F4" s="569"/>
      <c r="G4" s="569"/>
      <c r="H4" s="569"/>
      <c r="I4" s="569"/>
      <c r="J4" s="569"/>
      <c r="K4" s="569"/>
      <c r="L4" s="569"/>
      <c r="M4" s="569"/>
      <c r="N4" s="569"/>
      <c r="O4" s="569"/>
      <c r="P4" s="570"/>
      <c r="Q4" s="495" t="str">
        <f>'MAT Test'!R4</f>
        <v>PART NUMBER:</v>
      </c>
      <c r="R4" s="496"/>
      <c r="S4" s="496"/>
      <c r="T4" s="496"/>
      <c r="U4" s="569" t="str">
        <f>'DIM Test'!X4</f>
        <v>?</v>
      </c>
      <c r="V4" s="569"/>
      <c r="W4" s="569"/>
      <c r="X4" s="569"/>
      <c r="Y4" s="569"/>
      <c r="Z4" s="569"/>
      <c r="AA4" s="569"/>
      <c r="AB4" s="569"/>
      <c r="AC4" s="569"/>
      <c r="AD4" s="570"/>
    </row>
    <row r="5" spans="1:38" ht="13.5" customHeight="1" thickBot="1">
      <c r="A5" s="748" t="str">
        <f>'MAT Test'!A5</f>
        <v>SUPPLIER / VENDOR CODE:</v>
      </c>
      <c r="B5" s="749"/>
      <c r="C5" s="749"/>
      <c r="D5" s="749"/>
      <c r="E5" s="749"/>
      <c r="F5" s="749"/>
      <c r="G5" s="749"/>
      <c r="H5" s="567" t="str">
        <f>'DIM Test'!I5</f>
        <v>?</v>
      </c>
      <c r="I5" s="567"/>
      <c r="J5" s="567"/>
      <c r="K5" s="567"/>
      <c r="L5" s="567"/>
      <c r="M5" s="567"/>
      <c r="N5" s="567"/>
      <c r="O5" s="567"/>
      <c r="P5" s="568"/>
      <c r="Q5" s="534" t="str">
        <f>'MAT Test'!R5</f>
        <v>PART NAME:</v>
      </c>
      <c r="R5" s="535"/>
      <c r="S5" s="535"/>
      <c r="T5" s="535"/>
      <c r="U5" s="535"/>
      <c r="V5" s="536" t="str">
        <f>'DIM Test'!Y5</f>
        <v>?</v>
      </c>
      <c r="W5" s="536"/>
      <c r="X5" s="536"/>
      <c r="Y5" s="536"/>
      <c r="Z5" s="536"/>
      <c r="AA5" s="536"/>
      <c r="AB5" s="536"/>
      <c r="AC5" s="536"/>
      <c r="AD5" s="537"/>
    </row>
    <row r="6" spans="1:38" ht="13.5" customHeight="1">
      <c r="A6" s="1087"/>
      <c r="B6" s="1088"/>
      <c r="C6" s="1088"/>
      <c r="D6" s="1088"/>
      <c r="E6" s="1088"/>
      <c r="F6" s="1088"/>
      <c r="G6" s="1088"/>
      <c r="H6" s="1088"/>
      <c r="I6" s="1088"/>
      <c r="J6" s="1088"/>
      <c r="K6" s="1088"/>
      <c r="L6" s="1088"/>
      <c r="M6" s="1088"/>
      <c r="N6" s="1088"/>
      <c r="O6" s="1088"/>
      <c r="P6" s="1089"/>
      <c r="Q6" s="534" t="str">
        <f>'MAT Test'!R6</f>
        <v>DESIGN RECORD CHANGE LEVEL:</v>
      </c>
      <c r="R6" s="535"/>
      <c r="S6" s="535"/>
      <c r="T6" s="535"/>
      <c r="U6" s="535"/>
      <c r="V6" s="535"/>
      <c r="W6" s="535"/>
      <c r="X6" s="535"/>
      <c r="Y6" s="535"/>
      <c r="Z6" s="535"/>
      <c r="AA6" s="535"/>
      <c r="AB6" s="535"/>
      <c r="AC6" s="535"/>
      <c r="AD6" s="564"/>
    </row>
    <row r="7" spans="1:38" ht="13.5" customHeight="1">
      <c r="A7" s="1090"/>
      <c r="B7" s="1091"/>
      <c r="C7" s="1091"/>
      <c r="D7" s="1091"/>
      <c r="E7" s="1091"/>
      <c r="F7" s="1091"/>
      <c r="G7" s="1091"/>
      <c r="H7" s="1091"/>
      <c r="I7" s="1091"/>
      <c r="J7" s="1091"/>
      <c r="K7" s="1091"/>
      <c r="L7" s="1091"/>
      <c r="M7" s="1091"/>
      <c r="N7" s="1091"/>
      <c r="O7" s="1091"/>
      <c r="P7" s="1092"/>
      <c r="Q7" s="565" t="str">
        <f>'DIM Test'!S7</f>
        <v>?</v>
      </c>
      <c r="R7" s="599"/>
      <c r="S7" s="599"/>
      <c r="T7" s="599"/>
      <c r="U7" s="599"/>
      <c r="V7" s="599"/>
      <c r="W7" s="599"/>
      <c r="X7" s="599"/>
      <c r="Y7" s="599"/>
      <c r="Z7" s="599"/>
      <c r="AA7" s="599"/>
      <c r="AB7" s="599"/>
      <c r="AC7" s="599"/>
      <c r="AD7" s="600"/>
    </row>
    <row r="8" spans="1:38" ht="13.5" customHeight="1">
      <c r="A8" s="1090"/>
      <c r="B8" s="1091"/>
      <c r="C8" s="1091"/>
      <c r="D8" s="1091"/>
      <c r="E8" s="1091"/>
      <c r="F8" s="1091"/>
      <c r="G8" s="1091"/>
      <c r="H8" s="1091"/>
      <c r="I8" s="1091"/>
      <c r="J8" s="1091"/>
      <c r="K8" s="1091"/>
      <c r="L8" s="1091"/>
      <c r="M8" s="1091"/>
      <c r="N8" s="1091"/>
      <c r="O8" s="1091"/>
      <c r="P8" s="1092"/>
      <c r="Q8" s="534" t="str">
        <f>'MAT Test'!R8</f>
        <v>ENGINEERING CHANGE DOCUMENTS:</v>
      </c>
      <c r="R8" s="535"/>
      <c r="S8" s="535"/>
      <c r="T8" s="535"/>
      <c r="U8" s="535"/>
      <c r="V8" s="535"/>
      <c r="W8" s="535"/>
      <c r="X8" s="535"/>
      <c r="Y8" s="535"/>
      <c r="Z8" s="535"/>
      <c r="AA8" s="535"/>
      <c r="AB8" s="535"/>
      <c r="AC8" s="535"/>
      <c r="AD8" s="564"/>
    </row>
    <row r="9" spans="1:38" ht="13.5" customHeight="1">
      <c r="A9" s="1090"/>
      <c r="B9" s="1091"/>
      <c r="C9" s="1091"/>
      <c r="D9" s="1091"/>
      <c r="E9" s="1091"/>
      <c r="F9" s="1091"/>
      <c r="G9" s="1091"/>
      <c r="H9" s="1091"/>
      <c r="I9" s="1091"/>
      <c r="J9" s="1091"/>
      <c r="K9" s="1091"/>
      <c r="L9" s="1091"/>
      <c r="M9" s="1091"/>
      <c r="N9" s="1091"/>
      <c r="O9" s="1091"/>
      <c r="P9" s="1092"/>
      <c r="Q9" s="565" t="str">
        <f>'DIM Test'!S9</f>
        <v>?</v>
      </c>
      <c r="R9" s="599"/>
      <c r="S9" s="599"/>
      <c r="T9" s="599"/>
      <c r="U9" s="599"/>
      <c r="V9" s="599"/>
      <c r="W9" s="599"/>
      <c r="X9" s="599"/>
      <c r="Y9" s="599"/>
      <c r="Z9" s="599"/>
      <c r="AA9" s="599"/>
      <c r="AB9" s="599"/>
      <c r="AC9" s="599"/>
      <c r="AD9" s="600"/>
    </row>
    <row r="10" spans="1:38" ht="3.75" customHeight="1" thickBot="1">
      <c r="A10" s="404"/>
      <c r="B10" s="405"/>
      <c r="C10" s="405"/>
      <c r="D10" s="405"/>
      <c r="E10" s="405"/>
      <c r="F10" s="405"/>
      <c r="G10" s="405"/>
      <c r="H10" s="405"/>
      <c r="I10" s="405"/>
      <c r="J10" s="405"/>
      <c r="K10" s="405"/>
      <c r="L10" s="405"/>
      <c r="M10" s="405"/>
      <c r="N10" s="405"/>
      <c r="O10" s="405"/>
      <c r="P10" s="406"/>
      <c r="Q10" s="407"/>
      <c r="R10" s="408"/>
      <c r="S10" s="408"/>
      <c r="T10" s="408"/>
      <c r="U10" s="408"/>
      <c r="V10" s="408"/>
      <c r="W10" s="408"/>
      <c r="X10" s="408"/>
      <c r="Y10" s="408"/>
      <c r="Z10" s="408"/>
      <c r="AA10" s="408"/>
      <c r="AB10" s="408"/>
      <c r="AC10" s="408"/>
      <c r="AD10" s="409"/>
    </row>
    <row r="11" spans="1:38" ht="18" customHeight="1">
      <c r="A11" s="1093" t="str">
        <f>VLOOKUP("item",Translations!$A:$T,MATCH(PSW!AO7,Translations!A1:P1,0),0)</f>
        <v>ITEM</v>
      </c>
      <c r="B11" s="1093" t="str">
        <f>VLOOKUP("nameofmeasurementinstrument",Translations!$A:$T,MATCH(PSW!AO7,Translations!A1:P1,0),0)</f>
        <v>NAME OF MEASUREMENT INSTRUMENT / DEVICE</v>
      </c>
      <c r="C11" s="1093"/>
      <c r="D11" s="1093"/>
      <c r="E11" s="1093"/>
      <c r="F11" s="1093"/>
      <c r="G11" s="1093"/>
      <c r="H11" s="1093"/>
      <c r="I11" s="1093"/>
      <c r="J11" s="1093"/>
      <c r="K11" s="1093"/>
      <c r="L11" s="1093"/>
      <c r="M11" s="1093"/>
      <c r="N11" s="1093" t="str">
        <f>VLOOKUP("rangeofmeasurement",Translations!$A:$T,MATCH(PSW!AO7,Translations!A1:P1,0),0)</f>
        <v>RANGE OF MEASUREMENT</v>
      </c>
      <c r="O11" s="1093"/>
      <c r="P11" s="1093"/>
      <c r="Q11" s="1093"/>
      <c r="R11" s="1093"/>
      <c r="S11" s="1093"/>
      <c r="T11" s="1093" t="str">
        <f>VLOOKUP("noofmeasurementinstrument",Translations!$A:$T,MATCH(PSW!AO7,Translations!A1:P1,0),0)</f>
        <v>NO. OF MEASUREMENT INSTRUMENT / DEVICE</v>
      </c>
      <c r="U11" s="1093"/>
      <c r="V11" s="1093"/>
      <c r="W11" s="1093"/>
      <c r="X11" s="1093"/>
      <c r="Y11" s="1093"/>
      <c r="Z11" s="1093"/>
      <c r="AA11" s="1093" t="str">
        <f>VLOOKUP("msadone",Translations!$A:$T,MATCH(PSW!AO7,Translations!A1:P1,0),0)</f>
        <v>MSA DONE
(RESULT)</v>
      </c>
      <c r="AB11" s="1093"/>
      <c r="AC11" s="1093"/>
      <c r="AD11" s="1093"/>
      <c r="AF11" s="25"/>
      <c r="AG11" s="21"/>
      <c r="AI11" s="21"/>
      <c r="AJ11" s="24"/>
      <c r="AK11" s="21"/>
      <c r="AL11" s="21"/>
    </row>
    <row r="12" spans="1:38" ht="18" customHeight="1" thickBot="1">
      <c r="A12" s="1094"/>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F12" s="25"/>
      <c r="AG12" s="21"/>
      <c r="AI12" s="21"/>
      <c r="AJ12" s="24"/>
      <c r="AK12" s="21"/>
      <c r="AL12" s="21"/>
    </row>
    <row r="13" spans="1:38" ht="40.5" customHeight="1">
      <c r="A13" s="51"/>
      <c r="B13" s="760"/>
      <c r="C13" s="760"/>
      <c r="D13" s="760"/>
      <c r="E13" s="760"/>
      <c r="F13" s="760"/>
      <c r="G13" s="760"/>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F13" s="25"/>
      <c r="AG13" s="21"/>
      <c r="AK13" s="21"/>
    </row>
    <row r="14" spans="1:38" ht="40.5" customHeight="1">
      <c r="A14" s="52"/>
      <c r="B14" s="753"/>
      <c r="C14" s="753"/>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K14" s="21"/>
    </row>
    <row r="15" spans="1:38" ht="40.5" customHeight="1">
      <c r="A15" s="52"/>
      <c r="B15" s="753"/>
      <c r="C15" s="753"/>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row>
    <row r="16" spans="1:38" ht="40.5" customHeight="1">
      <c r="A16" s="52"/>
      <c r="B16" s="753"/>
      <c r="C16" s="753"/>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row>
    <row r="17" spans="1:30" ht="40.5" customHeight="1">
      <c r="A17" s="52"/>
      <c r="B17" s="753"/>
      <c r="C17" s="753"/>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row>
    <row r="18" spans="1:30" ht="40.5" customHeight="1">
      <c r="A18" s="52"/>
      <c r="B18" s="753"/>
      <c r="C18" s="753"/>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row>
    <row r="19" spans="1:30" ht="40.5" customHeight="1">
      <c r="A19" s="52"/>
      <c r="B19" s="753"/>
      <c r="C19" s="753"/>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row>
    <row r="20" spans="1:30" ht="40.5" customHeight="1">
      <c r="A20" s="52"/>
      <c r="B20" s="753"/>
      <c r="C20" s="753"/>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row>
    <row r="21" spans="1:30" ht="40.5" customHeight="1">
      <c r="A21" s="52"/>
      <c r="B21" s="753"/>
      <c r="C21" s="753"/>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row>
    <row r="22" spans="1:30" ht="40.5" customHeight="1">
      <c r="A22" s="52"/>
      <c r="B22" s="753"/>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row>
    <row r="23" spans="1:30" ht="40.5" customHeight="1">
      <c r="A23" s="52"/>
      <c r="B23" s="753"/>
      <c r="C23" s="753"/>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row>
    <row r="24" spans="1:30" ht="40.5" customHeight="1">
      <c r="A24" s="52"/>
      <c r="B24" s="75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row>
    <row r="25" spans="1:30" ht="40.5" customHeight="1">
      <c r="A25" s="52"/>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row>
    <row r="26" spans="1:30" ht="40.5" customHeight="1">
      <c r="A26" s="52"/>
      <c r="B26" s="753"/>
      <c r="C26" s="753"/>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row>
    <row r="27" spans="1:30" ht="40.5" customHeight="1">
      <c r="A27" s="52"/>
      <c r="B27" s="753"/>
      <c r="C27" s="753"/>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row>
    <row r="28" spans="1:30" ht="40.5" customHeight="1">
      <c r="A28" s="52"/>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row>
    <row r="29" spans="1:30" ht="40.5" customHeight="1">
      <c r="A29" s="52"/>
      <c r="B29" s="753"/>
      <c r="C29" s="753"/>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row>
    <row r="30" spans="1:30" ht="40.5" customHeight="1">
      <c r="A30" s="52"/>
      <c r="B30" s="753"/>
      <c r="C30" s="753"/>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row>
    <row r="31" spans="1:30" ht="40.5" customHeight="1">
      <c r="A31" s="52"/>
      <c r="B31" s="753"/>
      <c r="C31" s="753"/>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row>
    <row r="32" spans="1:30" ht="40.5" customHeight="1">
      <c r="A32" s="52"/>
      <c r="B32" s="753"/>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row>
    <row r="33" spans="1:30" ht="40.5" customHeight="1" thickBot="1">
      <c r="A33" s="53"/>
      <c r="B33" s="788"/>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row>
    <row r="34" spans="1:30" ht="7.5" customHeight="1" thickBo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row>
    <row r="35" spans="1:30">
      <c r="A35" s="35"/>
      <c r="B35" s="35"/>
      <c r="C35" s="35"/>
      <c r="D35" s="35"/>
      <c r="E35" s="35"/>
      <c r="F35" s="35"/>
      <c r="G35" s="35"/>
      <c r="H35" s="35"/>
      <c r="I35" s="35"/>
      <c r="J35" s="35"/>
      <c r="K35" s="35"/>
      <c r="L35" s="35"/>
      <c r="M35" s="495" t="str">
        <f>VLOOKUP("signature",Translations!$A:$T,MATCH(PSW!AO7,Translations!A1:P1,0),0)</f>
        <v>SIGNATURE</v>
      </c>
      <c r="N35" s="496"/>
      <c r="O35" s="496"/>
      <c r="P35" s="496"/>
      <c r="Q35" s="496"/>
      <c r="R35" s="496"/>
      <c r="S35" s="496"/>
      <c r="T35" s="497"/>
      <c r="U35" s="498" t="str">
        <f>VLOOKUP("title1",Translations!$A:$T,MATCH(PSW!AO7,Translations!A1:P1,0),0)</f>
        <v>TITLE</v>
      </c>
      <c r="V35" s="496"/>
      <c r="W35" s="496"/>
      <c r="X35" s="496"/>
      <c r="Y35" s="496"/>
      <c r="Z35" s="496"/>
      <c r="AA35" s="496"/>
      <c r="AB35" s="497"/>
      <c r="AC35" s="496" t="str">
        <f>VLOOKUP("date1",Translations!$A:$T,MATCH(PSW!AO7,Translations!A1:P1,0),0)</f>
        <v>DATE</v>
      </c>
      <c r="AD35" s="499"/>
    </row>
    <row r="36" spans="1:30" ht="18" customHeight="1">
      <c r="A36" s="35"/>
      <c r="B36" s="35"/>
      <c r="C36" s="35"/>
      <c r="D36" s="35"/>
      <c r="E36" s="35"/>
      <c r="F36" s="35"/>
      <c r="G36" s="35"/>
      <c r="H36" s="35"/>
      <c r="I36" s="35"/>
      <c r="J36" s="35"/>
      <c r="K36" s="35"/>
      <c r="L36" s="35"/>
      <c r="M36" s="736"/>
      <c r="N36" s="737"/>
      <c r="O36" s="737"/>
      <c r="P36" s="737"/>
      <c r="Q36" s="737"/>
      <c r="R36" s="737"/>
      <c r="S36" s="737"/>
      <c r="T36" s="738"/>
      <c r="U36" s="742"/>
      <c r="V36" s="737"/>
      <c r="W36" s="737"/>
      <c r="X36" s="737"/>
      <c r="Y36" s="737"/>
      <c r="Z36" s="737"/>
      <c r="AA36" s="737"/>
      <c r="AB36" s="738"/>
      <c r="AC36" s="506"/>
      <c r="AD36" s="508"/>
    </row>
    <row r="37" spans="1:30" ht="24" customHeight="1" thickBot="1">
      <c r="A37" s="35"/>
      <c r="B37" s="35"/>
      <c r="C37" s="35"/>
      <c r="D37" s="35"/>
      <c r="E37" s="35"/>
      <c r="F37" s="35"/>
      <c r="G37" s="35"/>
      <c r="H37" s="35"/>
      <c r="I37" s="35"/>
      <c r="J37" s="35"/>
      <c r="K37" s="35"/>
      <c r="L37" s="35"/>
      <c r="M37" s="739"/>
      <c r="N37" s="740"/>
      <c r="O37" s="740"/>
      <c r="P37" s="740"/>
      <c r="Q37" s="740"/>
      <c r="R37" s="740"/>
      <c r="S37" s="740"/>
      <c r="T37" s="741"/>
      <c r="U37" s="743"/>
      <c r="V37" s="740"/>
      <c r="W37" s="740"/>
      <c r="X37" s="740"/>
      <c r="Y37" s="740"/>
      <c r="Z37" s="740"/>
      <c r="AA37" s="740"/>
      <c r="AB37" s="741"/>
      <c r="AC37" s="507"/>
      <c r="AD37" s="509"/>
    </row>
  </sheetData>
  <sheetProtection algorithmName="SHA-512" hashValue="W4kr0wcTk4rEQZP9tFxO/AiEr8PLuEfvYR1v10br4IkfDnkIqLjlOmwN6G/5kS1pkDSuQbUMuv+MpOnCGnL8bg==" saltValue="kmIKLko/h+Snf5wbNVIWbw==" spinCount="100000" sheet="1" objects="1" scenarios="1" formatCells="0" formatColumns="0" formatRows="0" insertColumns="0" insertRows="0" deleteColumns="0" deleteRows="0" selectLockedCells="1"/>
  <mergeCells count="109">
    <mergeCell ref="AA17:AD17"/>
    <mergeCell ref="AA18:AD18"/>
    <mergeCell ref="AA21:AD21"/>
    <mergeCell ref="AA22:AD22"/>
    <mergeCell ref="AA25:AD25"/>
    <mergeCell ref="AA26:AD26"/>
    <mergeCell ref="T13:Z13"/>
    <mergeCell ref="T14:Z14"/>
    <mergeCell ref="AA13:AD13"/>
    <mergeCell ref="AA14:AD14"/>
    <mergeCell ref="AA15:AD15"/>
    <mergeCell ref="AA16:AD16"/>
    <mergeCell ref="T15:Z15"/>
    <mergeCell ref="T16:Z16"/>
    <mergeCell ref="AA19:AD19"/>
    <mergeCell ref="AA20:AD20"/>
    <mergeCell ref="T17:Z17"/>
    <mergeCell ref="T18:Z18"/>
    <mergeCell ref="T19:Z19"/>
    <mergeCell ref="T30:Z30"/>
    <mergeCell ref="AA30:AD30"/>
    <mergeCell ref="AA23:AD23"/>
    <mergeCell ref="AA24:AD24"/>
    <mergeCell ref="AA27:AD27"/>
    <mergeCell ref="N28:S28"/>
    <mergeCell ref="N29:S29"/>
    <mergeCell ref="AA28:AD28"/>
    <mergeCell ref="AA29:AD29"/>
    <mergeCell ref="N26:S26"/>
    <mergeCell ref="N27:S27"/>
    <mergeCell ref="N31:S31"/>
    <mergeCell ref="AC35:AD35"/>
    <mergeCell ref="U35:AB35"/>
    <mergeCell ref="M35:T35"/>
    <mergeCell ref="M36:T37"/>
    <mergeCell ref="U36:AB37"/>
    <mergeCell ref="AC36:AD37"/>
    <mergeCell ref="T31:Z31"/>
    <mergeCell ref="T32:Z32"/>
    <mergeCell ref="N32:S32"/>
    <mergeCell ref="AA31:AD31"/>
    <mergeCell ref="AA32:AD32"/>
    <mergeCell ref="N33:S33"/>
    <mergeCell ref="T33:Z33"/>
    <mergeCell ref="AA33:AD33"/>
    <mergeCell ref="B31:M31"/>
    <mergeCell ref="B32:M32"/>
    <mergeCell ref="B33:M33"/>
    <mergeCell ref="B13:M13"/>
    <mergeCell ref="B14:M14"/>
    <mergeCell ref="B15:M15"/>
    <mergeCell ref="B16:M16"/>
    <mergeCell ref="N13:S13"/>
    <mergeCell ref="N14:S14"/>
    <mergeCell ref="N15:S15"/>
    <mergeCell ref="N16:S16"/>
    <mergeCell ref="N30:S30"/>
    <mergeCell ref="B30:M30"/>
    <mergeCell ref="N24:S24"/>
    <mergeCell ref="N25:S25"/>
    <mergeCell ref="B28:M28"/>
    <mergeCell ref="B29:M29"/>
    <mergeCell ref="N19:S19"/>
    <mergeCell ref="N20:S20"/>
    <mergeCell ref="N21:S21"/>
    <mergeCell ref="N22:S22"/>
    <mergeCell ref="N23:S23"/>
    <mergeCell ref="B27:M27"/>
    <mergeCell ref="B19:M19"/>
    <mergeCell ref="B20:M20"/>
    <mergeCell ref="B26:M26"/>
    <mergeCell ref="B17:M17"/>
    <mergeCell ref="A6:P9"/>
    <mergeCell ref="Q6:AD6"/>
    <mergeCell ref="Q7:AD7"/>
    <mergeCell ref="Q8:AD8"/>
    <mergeCell ref="A11:A12"/>
    <mergeCell ref="B11:M12"/>
    <mergeCell ref="N11:S12"/>
    <mergeCell ref="T11:Z12"/>
    <mergeCell ref="AA11:AD12"/>
    <mergeCell ref="Q9:AD9"/>
    <mergeCell ref="O1:AD3"/>
    <mergeCell ref="A4:D4"/>
    <mergeCell ref="E4:P4"/>
    <mergeCell ref="Q4:T4"/>
    <mergeCell ref="U4:AD4"/>
    <mergeCell ref="A5:G5"/>
    <mergeCell ref="H5:P5"/>
    <mergeCell ref="Q5:U5"/>
    <mergeCell ref="V5:AD5"/>
    <mergeCell ref="B18:M18"/>
    <mergeCell ref="N17:S17"/>
    <mergeCell ref="N18:S18"/>
    <mergeCell ref="T27:Z27"/>
    <mergeCell ref="T28:Z28"/>
    <mergeCell ref="T29:Z29"/>
    <mergeCell ref="B21:M21"/>
    <mergeCell ref="B22:M22"/>
    <mergeCell ref="B23:M23"/>
    <mergeCell ref="B24:M24"/>
    <mergeCell ref="B25:M25"/>
    <mergeCell ref="T20:Z20"/>
    <mergeCell ref="T21:Z21"/>
    <mergeCell ref="T22:Z22"/>
    <mergeCell ref="T23:Z23"/>
    <mergeCell ref="T24:Z24"/>
    <mergeCell ref="T25:Z25"/>
    <mergeCell ref="T26:Z26"/>
  </mergeCells>
  <printOptions horizontalCentered="1"/>
  <pageMargins left="0.6692913385826772" right="0.59055118110236227" top="0.9055118110236221" bottom="0.59055118110236227" header="0.31496062992125984" footer="0.31496062992125984"/>
  <pageSetup paperSize="9" scale="70" orientation="portrait" r:id="rId1"/>
  <headerFooter>
    <oddHeader>&amp;R&amp;G</oddHeader>
    <oddFooter>&amp;LMHG-PU-F-0018&amp;CPPAP Template ; Rev.: 01/2019&amp;RJ.-U. Liedtke / PU-SD-GA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AM37"/>
  <sheetViews>
    <sheetView showGridLines="0" zoomScaleNormal="100" workbookViewId="0">
      <selection activeCell="A12" sqref="A12"/>
    </sheetView>
  </sheetViews>
  <sheetFormatPr baseColWidth="10" defaultColWidth="9.140625" defaultRowHeight="12.75"/>
  <cols>
    <col min="1" max="1" width="5.28515625" customWidth="1"/>
    <col min="2" max="8" width="3.42578125" customWidth="1"/>
    <col min="9" max="9" width="4.7109375" customWidth="1"/>
    <col min="10" max="11" width="3.42578125" customWidth="1"/>
    <col min="12" max="12" width="2.7109375" customWidth="1"/>
    <col min="13" max="15" width="3.42578125" customWidth="1"/>
    <col min="16" max="16" width="3.85546875" customWidth="1"/>
    <col min="17" max="18" width="5.85546875" customWidth="1"/>
    <col min="19" max="19" width="2.7109375" customWidth="1"/>
    <col min="20" max="21" width="3.42578125" customWidth="1"/>
    <col min="22" max="22" width="4.140625" customWidth="1"/>
    <col min="23" max="23" width="3.42578125" customWidth="1"/>
    <col min="24" max="24" width="1.7109375" customWidth="1"/>
    <col min="25" max="27" width="3.42578125" customWidth="1"/>
    <col min="28" max="28" width="3" customWidth="1"/>
    <col min="29" max="29" width="6.42578125" customWidth="1"/>
    <col min="30" max="30" width="4.7109375" customWidth="1"/>
    <col min="31" max="31" width="13.85546875" customWidth="1"/>
  </cols>
  <sheetData>
    <row r="1" spans="1:39" ht="12.75" customHeight="1">
      <c r="A1" s="46"/>
      <c r="B1" s="46"/>
      <c r="C1" s="46"/>
      <c r="D1" s="46"/>
      <c r="E1" s="46"/>
      <c r="F1" s="46"/>
      <c r="G1" s="46"/>
      <c r="H1" s="46"/>
      <c r="I1" s="46"/>
      <c r="J1" s="46"/>
      <c r="K1" s="46"/>
      <c r="L1" s="46"/>
      <c r="M1" s="46"/>
      <c r="N1" s="46"/>
      <c r="O1" s="46"/>
      <c r="P1" s="559" t="str">
        <f>VLOOKUP("ppaparthistory",Translations!$A:$T,MATCH(PSW!AO7,Translations!A1:P1,0),0)</f>
        <v>Production Part Approval
Part Delivery History</v>
      </c>
      <c r="Q1" s="559"/>
      <c r="R1" s="559"/>
      <c r="S1" s="559"/>
      <c r="T1" s="559"/>
      <c r="U1" s="559"/>
      <c r="V1" s="559"/>
      <c r="W1" s="559"/>
      <c r="X1" s="559"/>
      <c r="Y1" s="559"/>
      <c r="Z1" s="559"/>
      <c r="AA1" s="559"/>
      <c r="AB1" s="559"/>
      <c r="AC1" s="559"/>
      <c r="AD1" s="559"/>
      <c r="AE1" s="559"/>
    </row>
    <row r="2" spans="1:39" ht="12.75" customHeight="1">
      <c r="A2" s="46"/>
      <c r="B2" s="46"/>
      <c r="C2" s="46"/>
      <c r="D2" s="46"/>
      <c r="E2" s="46"/>
      <c r="F2" s="46"/>
      <c r="G2" s="46"/>
      <c r="H2" s="46"/>
      <c r="I2" s="46"/>
      <c r="J2" s="46"/>
      <c r="K2" s="46"/>
      <c r="L2" s="46"/>
      <c r="M2" s="46"/>
      <c r="N2" s="46"/>
      <c r="O2" s="46"/>
      <c r="P2" s="559"/>
      <c r="Q2" s="559"/>
      <c r="R2" s="559"/>
      <c r="S2" s="559"/>
      <c r="T2" s="559"/>
      <c r="U2" s="559"/>
      <c r="V2" s="559"/>
      <c r="W2" s="559"/>
      <c r="X2" s="559"/>
      <c r="Y2" s="559"/>
      <c r="Z2" s="559"/>
      <c r="AA2" s="559"/>
      <c r="AB2" s="559"/>
      <c r="AC2" s="559"/>
      <c r="AD2" s="559"/>
      <c r="AE2" s="559"/>
    </row>
    <row r="3" spans="1:39" ht="13.5" customHeight="1" thickBot="1">
      <c r="A3" s="47"/>
      <c r="B3" s="47"/>
      <c r="C3" s="47"/>
      <c r="D3" s="47"/>
      <c r="E3" s="47"/>
      <c r="F3" s="47"/>
      <c r="G3" s="47"/>
      <c r="H3" s="47"/>
      <c r="I3" s="47"/>
      <c r="J3" s="47"/>
      <c r="K3" s="47"/>
      <c r="L3" s="47"/>
      <c r="M3" s="47"/>
      <c r="N3" s="47"/>
      <c r="O3" s="47"/>
      <c r="P3" s="560"/>
      <c r="Q3" s="560"/>
      <c r="R3" s="560"/>
      <c r="S3" s="560"/>
      <c r="T3" s="560"/>
      <c r="U3" s="560"/>
      <c r="V3" s="560"/>
      <c r="W3" s="560"/>
      <c r="X3" s="560"/>
      <c r="Y3" s="560"/>
      <c r="Z3" s="560"/>
      <c r="AA3" s="560"/>
      <c r="AB3" s="560"/>
      <c r="AC3" s="560"/>
      <c r="AD3" s="560"/>
      <c r="AE3" s="560"/>
    </row>
    <row r="4" spans="1:39" ht="13.5" customHeight="1">
      <c r="A4" s="495" t="str">
        <f>'MAT Test'!A4</f>
        <v>ORGANIZATION:</v>
      </c>
      <c r="B4" s="496"/>
      <c r="C4" s="496"/>
      <c r="D4" s="496"/>
      <c r="E4" s="569" t="str">
        <f>'DIM Test'!E4</f>
        <v>?</v>
      </c>
      <c r="F4" s="569"/>
      <c r="G4" s="569"/>
      <c r="H4" s="569"/>
      <c r="I4" s="569"/>
      <c r="J4" s="569"/>
      <c r="K4" s="569"/>
      <c r="L4" s="569"/>
      <c r="M4" s="569"/>
      <c r="N4" s="569"/>
      <c r="O4" s="569"/>
      <c r="P4" s="569"/>
      <c r="Q4" s="570"/>
      <c r="R4" s="495" t="str">
        <f>'MAT Test'!R4</f>
        <v>PART NUMBER:</v>
      </c>
      <c r="S4" s="496"/>
      <c r="T4" s="496"/>
      <c r="U4" s="496"/>
      <c r="V4" s="569" t="str">
        <f>'DIM Test'!X4</f>
        <v>?</v>
      </c>
      <c r="W4" s="569"/>
      <c r="X4" s="569"/>
      <c r="Y4" s="569"/>
      <c r="Z4" s="569"/>
      <c r="AA4" s="569"/>
      <c r="AB4" s="569"/>
      <c r="AC4" s="569"/>
      <c r="AD4" s="569"/>
      <c r="AE4" s="570"/>
    </row>
    <row r="5" spans="1:39" ht="13.5" customHeight="1" thickBot="1">
      <c r="A5" s="748" t="str">
        <f>'MAT Test'!A5</f>
        <v>SUPPLIER / VENDOR CODE:</v>
      </c>
      <c r="B5" s="749"/>
      <c r="C5" s="749"/>
      <c r="D5" s="749"/>
      <c r="E5" s="749"/>
      <c r="F5" s="749"/>
      <c r="G5" s="749"/>
      <c r="H5" s="749"/>
      <c r="I5" s="567" t="str">
        <f>'DIM Test'!I5</f>
        <v>?</v>
      </c>
      <c r="J5" s="567"/>
      <c r="K5" s="567"/>
      <c r="L5" s="567"/>
      <c r="M5" s="567"/>
      <c r="N5" s="567"/>
      <c r="O5" s="567"/>
      <c r="P5" s="567"/>
      <c r="Q5" s="568"/>
      <c r="R5" s="534" t="str">
        <f>'MAT Test'!R5</f>
        <v>PART NAME:</v>
      </c>
      <c r="S5" s="535"/>
      <c r="T5" s="535"/>
      <c r="U5" s="535"/>
      <c r="V5" s="535"/>
      <c r="W5" s="536" t="str">
        <f>'DIM Test'!Y5</f>
        <v>?</v>
      </c>
      <c r="X5" s="536"/>
      <c r="Y5" s="536"/>
      <c r="Z5" s="536"/>
      <c r="AA5" s="536"/>
      <c r="AB5" s="536"/>
      <c r="AC5" s="536"/>
      <c r="AD5" s="536"/>
      <c r="AE5" s="537"/>
    </row>
    <row r="6" spans="1:39" ht="13.5" customHeight="1">
      <c r="A6" s="105"/>
      <c r="B6" s="106"/>
      <c r="C6" s="106"/>
      <c r="D6" s="106"/>
      <c r="E6" s="106"/>
      <c r="F6" s="107"/>
      <c r="G6" s="107"/>
      <c r="H6" s="1099"/>
      <c r="I6" s="1099"/>
      <c r="J6" s="1099"/>
      <c r="K6" s="1099"/>
      <c r="L6" s="1099"/>
      <c r="M6" s="1099"/>
      <c r="N6" s="1099"/>
      <c r="O6" s="1099"/>
      <c r="P6" s="1099"/>
      <c r="Q6" s="1100"/>
      <c r="R6" s="534" t="str">
        <f>'MAT Test'!R6</f>
        <v>DESIGN RECORD CHANGE LEVEL:</v>
      </c>
      <c r="S6" s="535"/>
      <c r="T6" s="535"/>
      <c r="U6" s="535"/>
      <c r="V6" s="535"/>
      <c r="W6" s="535"/>
      <c r="X6" s="535"/>
      <c r="Y6" s="535"/>
      <c r="Z6" s="535"/>
      <c r="AA6" s="535"/>
      <c r="AB6" s="535"/>
      <c r="AC6" s="535"/>
      <c r="AD6" s="535"/>
      <c r="AE6" s="564"/>
    </row>
    <row r="7" spans="1:39" ht="13.5" customHeight="1">
      <c r="A7" s="108"/>
      <c r="B7" s="109"/>
      <c r="C7" s="109"/>
      <c r="D7" s="109"/>
      <c r="E7" s="109"/>
      <c r="F7" s="109"/>
      <c r="G7" s="109"/>
      <c r="H7" s="110"/>
      <c r="I7" s="110"/>
      <c r="J7" s="110"/>
      <c r="K7" s="110"/>
      <c r="L7" s="110"/>
      <c r="M7" s="110"/>
      <c r="N7" s="1020"/>
      <c r="O7" s="1020"/>
      <c r="P7" s="1020"/>
      <c r="Q7" s="1021"/>
      <c r="R7" s="565" t="str">
        <f>'DIM Test'!S7</f>
        <v>?</v>
      </c>
      <c r="S7" s="599"/>
      <c r="T7" s="599"/>
      <c r="U7" s="599"/>
      <c r="V7" s="599"/>
      <c r="W7" s="599"/>
      <c r="X7" s="599"/>
      <c r="Y7" s="599"/>
      <c r="Z7" s="599"/>
      <c r="AA7" s="599"/>
      <c r="AB7" s="599"/>
      <c r="AC7" s="599"/>
      <c r="AD7" s="599"/>
      <c r="AE7" s="600"/>
    </row>
    <row r="8" spans="1:39" ht="13.5" customHeight="1">
      <c r="A8" s="1095"/>
      <c r="B8" s="1096"/>
      <c r="C8" s="1096"/>
      <c r="D8" s="1096"/>
      <c r="E8" s="1096"/>
      <c r="F8" s="1096"/>
      <c r="G8" s="1096"/>
      <c r="H8" s="1096"/>
      <c r="I8" s="1096"/>
      <c r="J8" s="1096"/>
      <c r="K8" s="1096"/>
      <c r="L8" s="1096"/>
      <c r="M8" s="1096"/>
      <c r="N8" s="1096"/>
      <c r="O8" s="1096"/>
      <c r="P8" s="1096"/>
      <c r="Q8" s="1097"/>
      <c r="R8" s="534" t="str">
        <f>'MAT Test'!R8</f>
        <v>ENGINEERING CHANGE DOCUMENTS:</v>
      </c>
      <c r="S8" s="535"/>
      <c r="T8" s="535"/>
      <c r="U8" s="535"/>
      <c r="V8" s="535"/>
      <c r="W8" s="535"/>
      <c r="X8" s="535"/>
      <c r="Y8" s="535"/>
      <c r="Z8" s="535"/>
      <c r="AA8" s="535"/>
      <c r="AB8" s="535"/>
      <c r="AC8" s="535"/>
      <c r="AD8" s="535"/>
      <c r="AE8" s="564"/>
    </row>
    <row r="9" spans="1:39" ht="13.5" customHeight="1">
      <c r="A9" s="1095"/>
      <c r="B9" s="1096"/>
      <c r="C9" s="1096"/>
      <c r="D9" s="1096"/>
      <c r="E9" s="1096"/>
      <c r="F9" s="1096"/>
      <c r="G9" s="1096"/>
      <c r="H9" s="1096"/>
      <c r="I9" s="1096"/>
      <c r="J9" s="1096"/>
      <c r="K9" s="1096"/>
      <c r="L9" s="1096"/>
      <c r="M9" s="1096"/>
      <c r="N9" s="1096"/>
      <c r="O9" s="1096"/>
      <c r="P9" s="1096"/>
      <c r="Q9" s="1097"/>
      <c r="R9" s="565" t="str">
        <f>'DIM Test'!S9</f>
        <v>?</v>
      </c>
      <c r="S9" s="599"/>
      <c r="T9" s="599"/>
      <c r="U9" s="599"/>
      <c r="V9" s="599"/>
      <c r="W9" s="599"/>
      <c r="X9" s="599"/>
      <c r="Y9" s="599"/>
      <c r="Z9" s="599"/>
      <c r="AA9" s="599"/>
      <c r="AB9" s="599"/>
      <c r="AC9" s="599"/>
      <c r="AD9" s="599"/>
      <c r="AE9" s="600"/>
    </row>
    <row r="10" spans="1:39" ht="3.75" customHeight="1" thickBot="1">
      <c r="A10" s="410"/>
      <c r="B10" s="411"/>
      <c r="C10" s="411"/>
      <c r="D10" s="411"/>
      <c r="E10" s="411"/>
      <c r="F10" s="411"/>
      <c r="G10" s="411"/>
      <c r="H10" s="411"/>
      <c r="I10" s="411"/>
      <c r="J10" s="411"/>
      <c r="K10" s="411"/>
      <c r="L10" s="411"/>
      <c r="M10" s="411"/>
      <c r="N10" s="411"/>
      <c r="O10" s="411"/>
      <c r="P10" s="411"/>
      <c r="Q10" s="412"/>
      <c r="R10" s="407"/>
      <c r="S10" s="408"/>
      <c r="T10" s="408"/>
      <c r="U10" s="408"/>
      <c r="V10" s="408"/>
      <c r="W10" s="408"/>
      <c r="X10" s="408"/>
      <c r="Y10" s="408"/>
      <c r="Z10" s="408"/>
      <c r="AA10" s="408"/>
      <c r="AB10" s="408"/>
      <c r="AC10" s="408"/>
      <c r="AD10" s="408"/>
      <c r="AE10" s="409"/>
    </row>
    <row r="11" spans="1:39" ht="49.5" customHeight="1" thickBot="1">
      <c r="A11" s="50" t="str">
        <f>VLOOKUP("item",Translations!$A:$T,MATCH(PSW!AO7,Translations!A1:P1,0),0)</f>
        <v>ITEM</v>
      </c>
      <c r="B11" s="1098" t="str">
        <f>VLOOKUP("descriptionofthechange",Translations!$A:$T,MATCH(PSW!AO7,Translations!A1:P1,0),0)</f>
        <v>DESCRIPTION OF THE CHANGE</v>
      </c>
      <c r="C11" s="1098"/>
      <c r="D11" s="1098"/>
      <c r="E11" s="1098"/>
      <c r="F11" s="1098"/>
      <c r="G11" s="1098"/>
      <c r="H11" s="1098"/>
      <c r="I11" s="1098"/>
      <c r="J11" s="1098" t="str">
        <f>VLOOKUP("reason",Translations!$A:$T,MATCH(PSW!AO7,Translations!A1:P1,0),0)</f>
        <v>REASON</v>
      </c>
      <c r="K11" s="1098"/>
      <c r="L11" s="1098"/>
      <c r="M11" s="1098" t="str">
        <f>VLOOKUP("maturitylevel",Translations!$A:$T,MATCH(PSW!AO7,Translations!A1:P1,0),0)</f>
        <v>MATURITY LEVEL</v>
      </c>
      <c r="N11" s="1098"/>
      <c r="O11" s="1098"/>
      <c r="P11" s="1098"/>
      <c r="Q11" s="1098" t="str">
        <f>VLOOKUP("approvedby",Translations!$A:$T,MATCH(PSW!AO7,Translations!A1:P1,0),0)</f>
        <v>APPROVED BY</v>
      </c>
      <c r="R11" s="1098"/>
      <c r="S11" s="1098"/>
      <c r="T11" s="1098" t="str">
        <f>VLOOKUP("introductionon",Translations!$A:$T,MATCH(PSW!AO7,Translations!A1:P1,0),0)</f>
        <v>INTRODUCTION ON (PRODUCTION LOT / DATE)</v>
      </c>
      <c r="U11" s="1098"/>
      <c r="V11" s="1098"/>
      <c r="W11" s="1098"/>
      <c r="X11" s="1098"/>
      <c r="Y11" s="1098" t="str">
        <f>VLOOKUP("drawingindex",Translations!$A:$T,MATCH(PSW!AO7,Translations!A1:P1,0),0)</f>
        <v>DRAWING INDEX</v>
      </c>
      <c r="Z11" s="1098"/>
      <c r="AA11" s="1098"/>
      <c r="AB11" s="1098"/>
      <c r="AC11" s="1098" t="str">
        <f>VLOOKUP("comment",Translations!$A:$T,MATCH(PSW!AO7,Translations!A1:P1,0),0)</f>
        <v>COMMENT</v>
      </c>
      <c r="AD11" s="1098"/>
      <c r="AE11" s="1098"/>
      <c r="AG11" s="25"/>
      <c r="AH11" s="21"/>
      <c r="AJ11" s="21"/>
      <c r="AK11" s="24"/>
      <c r="AL11" s="21"/>
      <c r="AM11" s="21"/>
    </row>
    <row r="12" spans="1:39" ht="39.75" customHeight="1">
      <c r="A12" s="51"/>
      <c r="B12" s="760"/>
      <c r="C12" s="760"/>
      <c r="D12" s="760"/>
      <c r="E12" s="760"/>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G12" s="25"/>
      <c r="AH12" s="21"/>
      <c r="AL12" s="21"/>
    </row>
    <row r="13" spans="1:39" ht="39.75" customHeight="1">
      <c r="A13" s="52"/>
      <c r="B13" s="753"/>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L13" s="21"/>
    </row>
    <row r="14" spans="1:39" ht="39.75" customHeight="1">
      <c r="A14" s="52"/>
      <c r="B14" s="753"/>
      <c r="C14" s="753"/>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row>
    <row r="15" spans="1:39" ht="39.75" customHeight="1">
      <c r="A15" s="52"/>
      <c r="B15" s="753"/>
      <c r="C15" s="753"/>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row>
    <row r="16" spans="1:39" ht="39.75" customHeight="1">
      <c r="A16" s="52"/>
      <c r="B16" s="753"/>
      <c r="C16" s="753"/>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row>
    <row r="17" spans="1:31" ht="39.75" customHeight="1">
      <c r="A17" s="52"/>
      <c r="B17" s="753"/>
      <c r="C17" s="753"/>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row>
    <row r="18" spans="1:31" ht="39.75" customHeight="1">
      <c r="A18" s="52"/>
      <c r="B18" s="753"/>
      <c r="C18" s="753"/>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row>
    <row r="19" spans="1:31" ht="39.75" customHeight="1">
      <c r="A19" s="52"/>
      <c r="B19" s="753"/>
      <c r="C19" s="753"/>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row>
    <row r="20" spans="1:31" ht="39.75" customHeight="1">
      <c r="A20" s="52"/>
      <c r="B20" s="753"/>
      <c r="C20" s="753"/>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row>
    <row r="21" spans="1:31" ht="39.75" customHeight="1">
      <c r="A21" s="52"/>
      <c r="B21" s="753"/>
      <c r="C21" s="753"/>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row>
    <row r="22" spans="1:31" ht="39.75" customHeight="1">
      <c r="A22" s="52"/>
      <c r="B22" s="753"/>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row>
    <row r="23" spans="1:31" ht="39.75" customHeight="1">
      <c r="A23" s="52"/>
      <c r="B23" s="753"/>
      <c r="C23" s="753"/>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row>
    <row r="24" spans="1:31" ht="39.75" customHeight="1">
      <c r="A24" s="52"/>
      <c r="B24" s="75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row>
    <row r="25" spans="1:31" ht="39.75" customHeight="1">
      <c r="A25" s="52"/>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row>
    <row r="26" spans="1:31" ht="39.75" customHeight="1">
      <c r="A26" s="52"/>
      <c r="B26" s="753"/>
      <c r="C26" s="753"/>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row>
    <row r="27" spans="1:31" ht="39.75" customHeight="1">
      <c r="A27" s="52"/>
      <c r="B27" s="753"/>
      <c r="C27" s="753"/>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row>
    <row r="28" spans="1:31" ht="39.75" customHeight="1">
      <c r="A28" s="52"/>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row>
    <row r="29" spans="1:31" ht="39.75" customHeight="1" thickBot="1">
      <c r="A29" s="53"/>
      <c r="B29" s="788"/>
      <c r="C29" s="788"/>
      <c r="D29" s="788"/>
      <c r="E29" s="788"/>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row>
    <row r="30" spans="1:31" ht="20.25" customHeight="1">
      <c r="A30" s="782" t="str">
        <f>VLOOKUP("reasonofchange",Translations!$A:$T,MATCH(PSW!AO7,Translations!A1:P1,0),0)</f>
        <v xml:space="preserve">EXPLANATION OF REASON OF CHANGE: </v>
      </c>
      <c r="B30" s="783"/>
      <c r="C30" s="783"/>
      <c r="D30" s="783"/>
      <c r="E30" s="783"/>
      <c r="F30" s="783"/>
      <c r="G30" s="783"/>
      <c r="H30" s="783"/>
      <c r="I30" s="783"/>
      <c r="J30" s="783"/>
      <c r="K30" s="783"/>
      <c r="L30" s="783"/>
      <c r="M30" s="1103" t="str">
        <f>VLOOKUP("explanationofreasonofchange",Translations!$A:$T,MATCH(PSW!AO7,Translations!A1:P1,0),0)</f>
        <v>K = DESIGN CHANGE ; P = CHANGE PRODUCTION PROCESS INCL. INSPECTION;
L = CHANGE OF SUB-SUPPLIER ; S = CHANGE OF PRODUCTION LOCATION;
V = CHANGE PACKAGING / TRANSPORTATION</v>
      </c>
      <c r="N30" s="1103"/>
      <c r="O30" s="1103"/>
      <c r="P30" s="1103"/>
      <c r="Q30" s="1103"/>
      <c r="R30" s="1103"/>
      <c r="S30" s="1103"/>
      <c r="T30" s="1103"/>
      <c r="U30" s="1103"/>
      <c r="V30" s="1103"/>
      <c r="W30" s="1103"/>
      <c r="X30" s="1103"/>
      <c r="Y30" s="1103"/>
      <c r="Z30" s="1103"/>
      <c r="AA30" s="1103"/>
      <c r="AB30" s="1103"/>
      <c r="AC30" s="1103"/>
      <c r="AD30" s="1103"/>
      <c r="AE30" s="1104"/>
    </row>
    <row r="31" spans="1:31" ht="20.25" customHeight="1">
      <c r="A31" s="1101"/>
      <c r="B31" s="1102"/>
      <c r="C31" s="1102"/>
      <c r="D31" s="1102"/>
      <c r="E31" s="1102"/>
      <c r="F31" s="1102"/>
      <c r="G31" s="1102"/>
      <c r="H31" s="1102"/>
      <c r="I31" s="1102"/>
      <c r="J31" s="1102"/>
      <c r="K31" s="1102"/>
      <c r="L31" s="1102"/>
      <c r="M31" s="1105"/>
      <c r="N31" s="1105"/>
      <c r="O31" s="1105"/>
      <c r="P31" s="1105"/>
      <c r="Q31" s="1105"/>
      <c r="R31" s="1105"/>
      <c r="S31" s="1105"/>
      <c r="T31" s="1105"/>
      <c r="U31" s="1105"/>
      <c r="V31" s="1105"/>
      <c r="W31" s="1105"/>
      <c r="X31" s="1105"/>
      <c r="Y31" s="1105"/>
      <c r="Z31" s="1105"/>
      <c r="AA31" s="1105"/>
      <c r="AB31" s="1105"/>
      <c r="AC31" s="1105"/>
      <c r="AD31" s="1105"/>
      <c r="AE31" s="1106"/>
    </row>
    <row r="32" spans="1:31" ht="20.25" customHeight="1">
      <c r="A32" s="1107" t="str">
        <f>VLOOKUP("maturitylevels",Translations!$A:$T,MATCH(PSW!AO7,Translations!A1:P1,0),0)</f>
        <v>EXPLANATION OF MATURITY LEVEL:</v>
      </c>
      <c r="B32" s="1108"/>
      <c r="C32" s="1108"/>
      <c r="D32" s="1108"/>
      <c r="E32" s="1108"/>
      <c r="F32" s="1108"/>
      <c r="G32" s="1108"/>
      <c r="H32" s="1108"/>
      <c r="I32" s="1108"/>
      <c r="J32" s="1108"/>
      <c r="K32" s="1108"/>
      <c r="L32" s="1108"/>
      <c r="M32" s="1109" t="str">
        <f>VLOOKUP("explanationmaturitylevel",Translations!$A:$T,MATCH(PSW!AO7,Translations!A1:P1,0),0)</f>
        <v>C1 = SERIAL TOOLING / EQUIPMENT USED, BUT STILL AT PRODUCER OF THE TOOLING OR
        EQUIPMENT;
C2 = SERIAL TOOLING / EQUIPMENT AT SERIAL PRODUCTION SUPPLIER, BUT PROCESS
        STEPS NOT YET LINKED;
C3 = SERIAL TOOLING / EQUIPMENT AT SERIAL PRODUCTION SUPPLIER, PROCESS STEPS
        AS FOR SERIAL PRODUCTION AND ALL PROCESS STEPS LINKED
1, 2, 3,... IDENTIFICATION OF THE DIFFERENT CORRECTION LOOPS FOR THE SAME
        MATURITY LEVEL (EG. C3.1, C3.2, C3.3)</v>
      </c>
      <c r="N32" s="1109"/>
      <c r="O32" s="1109"/>
      <c r="P32" s="1109"/>
      <c r="Q32" s="1109"/>
      <c r="R32" s="1109"/>
      <c r="S32" s="1109"/>
      <c r="T32" s="1109"/>
      <c r="U32" s="1109"/>
      <c r="V32" s="1109"/>
      <c r="W32" s="1109"/>
      <c r="X32" s="1109"/>
      <c r="Y32" s="1109"/>
      <c r="Z32" s="1109"/>
      <c r="AA32" s="1109"/>
      <c r="AB32" s="1109"/>
      <c r="AC32" s="1109"/>
      <c r="AD32" s="1109"/>
      <c r="AE32" s="1110"/>
    </row>
    <row r="33" spans="1:31" ht="84.75" customHeight="1" thickBot="1">
      <c r="A33" s="776"/>
      <c r="B33" s="777"/>
      <c r="C33" s="777"/>
      <c r="D33" s="777"/>
      <c r="E33" s="777"/>
      <c r="F33" s="777"/>
      <c r="G33" s="777"/>
      <c r="H33" s="777"/>
      <c r="I33" s="777"/>
      <c r="J33" s="777"/>
      <c r="K33" s="777"/>
      <c r="L33" s="777"/>
      <c r="M33" s="1111"/>
      <c r="N33" s="1111"/>
      <c r="O33" s="1111"/>
      <c r="P33" s="1111"/>
      <c r="Q33" s="1111"/>
      <c r="R33" s="1111"/>
      <c r="S33" s="1111"/>
      <c r="T33" s="1111"/>
      <c r="U33" s="1111"/>
      <c r="V33" s="1111"/>
      <c r="W33" s="1111"/>
      <c r="X33" s="1111"/>
      <c r="Y33" s="1111"/>
      <c r="Z33" s="1111"/>
      <c r="AA33" s="1111"/>
      <c r="AB33" s="1111"/>
      <c r="AC33" s="1111"/>
      <c r="AD33" s="1111"/>
      <c r="AE33" s="1112"/>
    </row>
    <row r="34" spans="1:31" ht="7.5" customHeight="1" thickBo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31">
      <c r="A35" s="35"/>
      <c r="B35" s="35"/>
      <c r="C35" s="35"/>
      <c r="D35" s="35"/>
      <c r="E35" s="35"/>
      <c r="F35" s="35"/>
      <c r="G35" s="35"/>
      <c r="H35" s="35"/>
      <c r="I35" s="35"/>
      <c r="J35" s="35"/>
      <c r="K35" s="35"/>
      <c r="L35" s="35"/>
      <c r="M35" s="495" t="str">
        <f>VLOOKUP("signature",Translations!$A:$T,MATCH(PSW!AO7,Translations!A1:P1,0),0)</f>
        <v>SIGNATURE</v>
      </c>
      <c r="N35" s="496"/>
      <c r="O35" s="496"/>
      <c r="P35" s="496"/>
      <c r="Q35" s="496"/>
      <c r="R35" s="496"/>
      <c r="S35" s="496"/>
      <c r="T35" s="496"/>
      <c r="U35" s="497"/>
      <c r="V35" s="498" t="str">
        <f>VLOOKUP("title1",Translations!$A:$T,MATCH(PSW!AO7,Translations!A1:P1,0),0)</f>
        <v>TITLE</v>
      </c>
      <c r="W35" s="496"/>
      <c r="X35" s="496"/>
      <c r="Y35" s="496"/>
      <c r="Z35" s="496"/>
      <c r="AA35" s="496"/>
      <c r="AB35" s="496"/>
      <c r="AC35" s="497"/>
      <c r="AD35" s="498" t="str">
        <f>VLOOKUP("date1",Translations!$A:$T,MATCH(PSW!AO7,Translations!A1:P1,0),0)</f>
        <v>DATE</v>
      </c>
      <c r="AE35" s="499"/>
    </row>
    <row r="36" spans="1:31" ht="18" customHeight="1">
      <c r="A36" s="35"/>
      <c r="B36" s="35"/>
      <c r="C36" s="35"/>
      <c r="D36" s="35"/>
      <c r="E36" s="35"/>
      <c r="F36" s="35"/>
      <c r="G36" s="35"/>
      <c r="H36" s="35"/>
      <c r="I36" s="35"/>
      <c r="J36" s="35"/>
      <c r="K36" s="35"/>
      <c r="L36" s="35"/>
      <c r="M36" s="500"/>
      <c r="N36" s="501"/>
      <c r="O36" s="501"/>
      <c r="P36" s="501"/>
      <c r="Q36" s="501"/>
      <c r="R36" s="501"/>
      <c r="S36" s="501"/>
      <c r="T36" s="501"/>
      <c r="U36" s="502"/>
      <c r="V36" s="506"/>
      <c r="W36" s="501"/>
      <c r="X36" s="501"/>
      <c r="Y36" s="501"/>
      <c r="Z36" s="501"/>
      <c r="AA36" s="501"/>
      <c r="AB36" s="501"/>
      <c r="AC36" s="502"/>
      <c r="AD36" s="506"/>
      <c r="AE36" s="508"/>
    </row>
    <row r="37" spans="1:31" ht="24" customHeight="1" thickBot="1">
      <c r="A37" s="35"/>
      <c r="B37" s="35"/>
      <c r="C37" s="35"/>
      <c r="D37" s="35"/>
      <c r="E37" s="35"/>
      <c r="F37" s="35"/>
      <c r="G37" s="35"/>
      <c r="H37" s="35"/>
      <c r="I37" s="35"/>
      <c r="J37" s="35"/>
      <c r="K37" s="35"/>
      <c r="L37" s="35"/>
      <c r="M37" s="503"/>
      <c r="N37" s="504"/>
      <c r="O37" s="504"/>
      <c r="P37" s="504"/>
      <c r="Q37" s="504"/>
      <c r="R37" s="504"/>
      <c r="S37" s="504"/>
      <c r="T37" s="504"/>
      <c r="U37" s="505"/>
      <c r="V37" s="507"/>
      <c r="W37" s="504"/>
      <c r="X37" s="504"/>
      <c r="Y37" s="504"/>
      <c r="Z37" s="504"/>
      <c r="AA37" s="504"/>
      <c r="AB37" s="504"/>
      <c r="AC37" s="505"/>
      <c r="AD37" s="507"/>
      <c r="AE37" s="509"/>
    </row>
  </sheetData>
  <sheetProtection algorithmName="SHA-512" hashValue="Rqwd39ZG7bE+KPbPEf/CvmelFJoF9cBsmRp0F/SARGxPbPa142g0ha8C0ziKTjTnHChyvuK8Q41BtKaPuEoQaw==" saltValue="f8aUSJr9gat2I5ZO7vh11A==" spinCount="100000" sheet="1" objects="1" scenarios="1" formatCells="0" formatColumns="0" formatRows="0" insertColumns="0" insertRows="0" deleteColumns="0" deleteRows="0" selectLockedCells="1"/>
  <mergeCells count="159">
    <mergeCell ref="A30:L31"/>
    <mergeCell ref="M30:AE31"/>
    <mergeCell ref="A32:L33"/>
    <mergeCell ref="M32:AE33"/>
    <mergeCell ref="AD36:AE37"/>
    <mergeCell ref="V35:AC35"/>
    <mergeCell ref="V36:AC37"/>
    <mergeCell ref="M35:U35"/>
    <mergeCell ref="M36:U37"/>
    <mergeCell ref="Y29:AB29"/>
    <mergeCell ref="AC29:AE29"/>
    <mergeCell ref="B29:I29"/>
    <mergeCell ref="AD35:AE35"/>
    <mergeCell ref="B28:I28"/>
    <mergeCell ref="B27:I27"/>
    <mergeCell ref="B21:I21"/>
    <mergeCell ref="B22:I22"/>
    <mergeCell ref="B23:I23"/>
    <mergeCell ref="B24:I24"/>
    <mergeCell ref="B25:I25"/>
    <mergeCell ref="B26:I26"/>
    <mergeCell ref="J27:L27"/>
    <mergeCell ref="J28:L28"/>
    <mergeCell ref="J25:L25"/>
    <mergeCell ref="J26:L26"/>
    <mergeCell ref="M21:P21"/>
    <mergeCell ref="M22:P22"/>
    <mergeCell ref="M23:P23"/>
    <mergeCell ref="M24:P24"/>
    <mergeCell ref="Q26:S26"/>
    <mergeCell ref="Q27:S27"/>
    <mergeCell ref="Q28:S28"/>
    <mergeCell ref="T28:X28"/>
    <mergeCell ref="B12:I12"/>
    <mergeCell ref="B13:I13"/>
    <mergeCell ref="B14:I14"/>
    <mergeCell ref="B15:I15"/>
    <mergeCell ref="B16:I16"/>
    <mergeCell ref="B17:I17"/>
    <mergeCell ref="B18:I18"/>
    <mergeCell ref="B19:I19"/>
    <mergeCell ref="B20:I20"/>
    <mergeCell ref="J12:L12"/>
    <mergeCell ref="J13:L13"/>
    <mergeCell ref="J14:L14"/>
    <mergeCell ref="J15:L15"/>
    <mergeCell ref="J16:L16"/>
    <mergeCell ref="J17:L17"/>
    <mergeCell ref="J18:L18"/>
    <mergeCell ref="M12:P12"/>
    <mergeCell ref="M13:P13"/>
    <mergeCell ref="M14:P14"/>
    <mergeCell ref="M17:P17"/>
    <mergeCell ref="M18:P18"/>
    <mergeCell ref="Q25:S25"/>
    <mergeCell ref="J19:L19"/>
    <mergeCell ref="J20:L20"/>
    <mergeCell ref="J21:L21"/>
    <mergeCell ref="J22:L22"/>
    <mergeCell ref="J23:L23"/>
    <mergeCell ref="J24:L24"/>
    <mergeCell ref="M27:P27"/>
    <mergeCell ref="M28:P28"/>
    <mergeCell ref="M25:P25"/>
    <mergeCell ref="M26:P26"/>
    <mergeCell ref="M19:P19"/>
    <mergeCell ref="M20:P20"/>
    <mergeCell ref="T24:X24"/>
    <mergeCell ref="Q17:S17"/>
    <mergeCell ref="Q18:S18"/>
    <mergeCell ref="Q19:S19"/>
    <mergeCell ref="Q20:S20"/>
    <mergeCell ref="Q21:S21"/>
    <mergeCell ref="Q22:S22"/>
    <mergeCell ref="Q23:S23"/>
    <mergeCell ref="Q24:S24"/>
    <mergeCell ref="Y19:AB19"/>
    <mergeCell ref="Y20:AB20"/>
    <mergeCell ref="Y21:AB21"/>
    <mergeCell ref="Y22:AB22"/>
    <mergeCell ref="Y23:AB23"/>
    <mergeCell ref="AC27:AE27"/>
    <mergeCell ref="AC28:AE28"/>
    <mergeCell ref="AC23:AE23"/>
    <mergeCell ref="AC24:AE24"/>
    <mergeCell ref="AC25:AE25"/>
    <mergeCell ref="AC26:AE26"/>
    <mergeCell ref="AC19:AE19"/>
    <mergeCell ref="AC20:AE20"/>
    <mergeCell ref="AC21:AE21"/>
    <mergeCell ref="AC22:AE22"/>
    <mergeCell ref="Y27:AB27"/>
    <mergeCell ref="Y24:AB24"/>
    <mergeCell ref="Y25:AB25"/>
    <mergeCell ref="Y26:AB26"/>
    <mergeCell ref="Y28:AB28"/>
    <mergeCell ref="AC17:AE17"/>
    <mergeCell ref="AC18:AE18"/>
    <mergeCell ref="Y17:AB17"/>
    <mergeCell ref="Y18:AB18"/>
    <mergeCell ref="T17:X17"/>
    <mergeCell ref="T18:X18"/>
    <mergeCell ref="Y12:AB12"/>
    <mergeCell ref="AC12:AE12"/>
    <mergeCell ref="AC13:AE13"/>
    <mergeCell ref="AC14:AE14"/>
    <mergeCell ref="AC15:AE15"/>
    <mergeCell ref="AC16:AE16"/>
    <mergeCell ref="Y13:AB13"/>
    <mergeCell ref="Y14:AB14"/>
    <mergeCell ref="Y15:AB15"/>
    <mergeCell ref="Y16:AB16"/>
    <mergeCell ref="J29:L29"/>
    <mergeCell ref="M29:P29"/>
    <mergeCell ref="Q29:S29"/>
    <mergeCell ref="T29:X29"/>
    <mergeCell ref="M15:P15"/>
    <mergeCell ref="M16:P16"/>
    <mergeCell ref="Q12:S12"/>
    <mergeCell ref="Q13:S13"/>
    <mergeCell ref="Q14:S14"/>
    <mergeCell ref="Q15:S15"/>
    <mergeCell ref="Q16:S16"/>
    <mergeCell ref="T12:X12"/>
    <mergeCell ref="T13:X13"/>
    <mergeCell ref="T14:X14"/>
    <mergeCell ref="T15:X15"/>
    <mergeCell ref="T16:X16"/>
    <mergeCell ref="T19:X19"/>
    <mergeCell ref="T20:X20"/>
    <mergeCell ref="T21:X21"/>
    <mergeCell ref="T22:X22"/>
    <mergeCell ref="T23:X23"/>
    <mergeCell ref="T27:X27"/>
    <mergeCell ref="T25:X25"/>
    <mergeCell ref="T26:X26"/>
    <mergeCell ref="N7:Q7"/>
    <mergeCell ref="R7:AE7"/>
    <mergeCell ref="A8:Q9"/>
    <mergeCell ref="B11:I11"/>
    <mergeCell ref="P1:AE3"/>
    <mergeCell ref="E4:Q4"/>
    <mergeCell ref="V4:AE4"/>
    <mergeCell ref="W5:AE5"/>
    <mergeCell ref="H6:Q6"/>
    <mergeCell ref="A4:D4"/>
    <mergeCell ref="J11:L11"/>
    <mergeCell ref="M11:P11"/>
    <mergeCell ref="Q11:S11"/>
    <mergeCell ref="R4:U4"/>
    <mergeCell ref="R5:V5"/>
    <mergeCell ref="R6:AE6"/>
    <mergeCell ref="R8:AE8"/>
    <mergeCell ref="R9:AE9"/>
    <mergeCell ref="A5:H5"/>
    <mergeCell ref="I5:Q5"/>
    <mergeCell ref="T11:X11"/>
    <mergeCell ref="Y11:AB11"/>
    <mergeCell ref="AC11:AE11"/>
  </mergeCells>
  <printOptions horizontalCentered="1"/>
  <pageMargins left="0.6692913385826772" right="0.55118110236220474" top="0.86614173228346458" bottom="0.43307086614173229" header="0.31496062992125984" footer="0.27559055118110237"/>
  <pageSetup paperSize="9" scale="70" orientation="portrait" r:id="rId1"/>
  <headerFooter>
    <oddHeader>&amp;R&amp;G</oddHeader>
    <oddFooter>&amp;LMHG-PU-F-0018&amp;CPPAP Template ; Rev.: 01/2019&amp;RJ.-U. Liedtke / PU-SD-GA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AL44"/>
  <sheetViews>
    <sheetView showGridLines="0" zoomScaleNormal="100" workbookViewId="0">
      <selection activeCell="U22" sqref="U22:Y22"/>
    </sheetView>
  </sheetViews>
  <sheetFormatPr baseColWidth="10" defaultColWidth="9.140625" defaultRowHeight="12.75"/>
  <cols>
    <col min="1" max="1" width="4.7109375" customWidth="1"/>
    <col min="2" max="6" width="3.42578125" customWidth="1"/>
    <col min="7" max="7" width="7.140625" customWidth="1"/>
    <col min="8" max="8" width="3.42578125" customWidth="1"/>
    <col min="9" max="9" width="4.7109375" customWidth="1"/>
    <col min="10" max="10" width="3.42578125" customWidth="1"/>
    <col min="11" max="11" width="2.7109375" customWidth="1"/>
    <col min="12" max="14" width="3.42578125" customWidth="1"/>
    <col min="15" max="15" width="3.85546875" customWidth="1"/>
    <col min="16" max="17" width="5.85546875" customWidth="1"/>
    <col min="18" max="18" width="2.7109375" customWidth="1"/>
    <col min="19" max="22" width="3.42578125" customWidth="1"/>
    <col min="23" max="23" width="1.7109375" customWidth="1"/>
    <col min="24" max="26" width="3.42578125" customWidth="1"/>
    <col min="27" max="27" width="2.7109375" customWidth="1"/>
    <col min="28" max="28" width="6.42578125" customWidth="1"/>
    <col min="29" max="29" width="4.7109375" customWidth="1"/>
    <col min="30" max="30" width="13.85546875" customWidth="1"/>
  </cols>
  <sheetData>
    <row r="1" spans="1:38" ht="12.75" customHeight="1">
      <c r="A1" s="46"/>
      <c r="B1" s="46"/>
      <c r="C1" s="46"/>
      <c r="D1" s="46"/>
      <c r="E1" s="46"/>
      <c r="F1" s="46"/>
      <c r="G1" s="46"/>
      <c r="H1" s="46"/>
      <c r="I1" s="46"/>
      <c r="J1" s="46"/>
      <c r="K1" s="46"/>
      <c r="L1" s="46"/>
      <c r="M1" s="46"/>
      <c r="N1" s="46"/>
      <c r="O1" s="112"/>
      <c r="P1" s="559" t="str">
        <f>VLOOKUP("ppapstatussubsuppliers",Translations!$A:$T,MATCH(PSW!AO7,Translations!A1:P1,0),0)</f>
        <v>Production Part Approval 
PPAP Status Sub-Suppliers</v>
      </c>
      <c r="Q1" s="559"/>
      <c r="R1" s="559"/>
      <c r="S1" s="559"/>
      <c r="T1" s="559"/>
      <c r="U1" s="559"/>
      <c r="V1" s="559"/>
      <c r="W1" s="559"/>
      <c r="X1" s="559"/>
      <c r="Y1" s="559"/>
      <c r="Z1" s="559"/>
      <c r="AA1" s="559"/>
      <c r="AB1" s="559"/>
      <c r="AC1" s="559"/>
      <c r="AD1" s="112"/>
    </row>
    <row r="2" spans="1:38" ht="12.75" customHeight="1">
      <c r="A2" s="46"/>
      <c r="B2" s="46"/>
      <c r="C2" s="46"/>
      <c r="D2" s="46"/>
      <c r="E2" s="46"/>
      <c r="F2" s="46"/>
      <c r="G2" s="46"/>
      <c r="H2" s="46"/>
      <c r="I2" s="46"/>
      <c r="J2" s="46"/>
      <c r="K2" s="46"/>
      <c r="L2" s="46"/>
      <c r="M2" s="46"/>
      <c r="N2" s="46"/>
      <c r="O2" s="112"/>
      <c r="P2" s="559"/>
      <c r="Q2" s="559"/>
      <c r="R2" s="559"/>
      <c r="S2" s="559"/>
      <c r="T2" s="559"/>
      <c r="U2" s="559"/>
      <c r="V2" s="559"/>
      <c r="W2" s="559"/>
      <c r="X2" s="559"/>
      <c r="Y2" s="559"/>
      <c r="Z2" s="559"/>
      <c r="AA2" s="559"/>
      <c r="AB2" s="559"/>
      <c r="AC2" s="559"/>
      <c r="AD2" s="112"/>
    </row>
    <row r="3" spans="1:38" ht="13.5" customHeight="1" thickBot="1">
      <c r="A3" s="47"/>
      <c r="B3" s="47"/>
      <c r="C3" s="47"/>
      <c r="D3" s="47"/>
      <c r="E3" s="47"/>
      <c r="F3" s="47"/>
      <c r="G3" s="47"/>
      <c r="H3" s="47"/>
      <c r="I3" s="47"/>
      <c r="J3" s="47"/>
      <c r="K3" s="47"/>
      <c r="L3" s="47"/>
      <c r="M3" s="47"/>
      <c r="N3" s="47"/>
      <c r="O3" s="113"/>
      <c r="P3" s="560"/>
      <c r="Q3" s="560"/>
      <c r="R3" s="560"/>
      <c r="S3" s="560"/>
      <c r="T3" s="560"/>
      <c r="U3" s="560"/>
      <c r="V3" s="560"/>
      <c r="W3" s="560"/>
      <c r="X3" s="560"/>
      <c r="Y3" s="560"/>
      <c r="Z3" s="560"/>
      <c r="AA3" s="560"/>
      <c r="AB3" s="560"/>
      <c r="AC3" s="560"/>
      <c r="AD3" s="113"/>
    </row>
    <row r="4" spans="1:38">
      <c r="A4" s="495" t="str">
        <f>'MAT Test'!A4</f>
        <v>ORGANIZATION:</v>
      </c>
      <c r="B4" s="496"/>
      <c r="C4" s="496"/>
      <c r="D4" s="496"/>
      <c r="E4" s="569" t="str">
        <f>'DIM Test'!E4:R4</f>
        <v>?</v>
      </c>
      <c r="F4" s="569"/>
      <c r="G4" s="569"/>
      <c r="H4" s="569"/>
      <c r="I4" s="569"/>
      <c r="J4" s="569"/>
      <c r="K4" s="569"/>
      <c r="L4" s="569"/>
      <c r="M4" s="569"/>
      <c r="N4" s="569"/>
      <c r="O4" s="569"/>
      <c r="P4" s="570"/>
      <c r="Q4" s="495" t="str">
        <f>'MAT Test'!R4</f>
        <v>PART NUMBER:</v>
      </c>
      <c r="R4" s="496"/>
      <c r="S4" s="496"/>
      <c r="T4" s="496"/>
      <c r="U4" s="569" t="str">
        <f>'Checking Aids'!U4:AD4</f>
        <v>?</v>
      </c>
      <c r="V4" s="569"/>
      <c r="W4" s="569"/>
      <c r="X4" s="569"/>
      <c r="Y4" s="569"/>
      <c r="Z4" s="569"/>
      <c r="AA4" s="569"/>
      <c r="AB4" s="569"/>
      <c r="AC4" s="569"/>
      <c r="AD4" s="570"/>
    </row>
    <row r="5" spans="1:38" ht="13.5" thickBot="1">
      <c r="A5" s="748" t="str">
        <f>'MAT Test'!A5</f>
        <v>SUPPLIER / VENDOR CODE:</v>
      </c>
      <c r="B5" s="749"/>
      <c r="C5" s="749"/>
      <c r="D5" s="749"/>
      <c r="E5" s="749"/>
      <c r="F5" s="749"/>
      <c r="G5" s="749"/>
      <c r="H5" s="1123" t="str">
        <f>'DIM Test'!I5</f>
        <v>?</v>
      </c>
      <c r="I5" s="1123"/>
      <c r="J5" s="1123"/>
      <c r="K5" s="1123"/>
      <c r="L5" s="1123"/>
      <c r="M5" s="1123"/>
      <c r="N5" s="1123"/>
      <c r="O5" s="1123"/>
      <c r="P5" s="1124"/>
      <c r="Q5" s="534" t="str">
        <f>'MAT Test'!R5</f>
        <v>PART NAME:</v>
      </c>
      <c r="R5" s="535"/>
      <c r="S5" s="535"/>
      <c r="T5" s="535"/>
      <c r="U5" s="535"/>
      <c r="V5" s="536" t="str">
        <f>'Checking Aids'!V5:AD5</f>
        <v>?</v>
      </c>
      <c r="W5" s="536"/>
      <c r="X5" s="536"/>
      <c r="Y5" s="536"/>
      <c r="Z5" s="536"/>
      <c r="AA5" s="536"/>
      <c r="AB5" s="536"/>
      <c r="AC5" s="536"/>
      <c r="AD5" s="537"/>
    </row>
    <row r="6" spans="1:38">
      <c r="A6" s="105"/>
      <c r="B6" s="106"/>
      <c r="C6" s="106"/>
      <c r="D6" s="106"/>
      <c r="E6" s="106"/>
      <c r="F6" s="107"/>
      <c r="G6" s="107"/>
      <c r="H6" s="1099"/>
      <c r="I6" s="1099"/>
      <c r="J6" s="1099"/>
      <c r="K6" s="1099"/>
      <c r="L6" s="1099"/>
      <c r="M6" s="1099"/>
      <c r="N6" s="1099"/>
      <c r="O6" s="1099"/>
      <c r="P6" s="1100"/>
      <c r="Q6" s="534" t="str">
        <f>'MAT Test'!R6</f>
        <v>DESIGN RECORD CHANGE LEVEL:</v>
      </c>
      <c r="R6" s="535"/>
      <c r="S6" s="535"/>
      <c r="T6" s="535"/>
      <c r="U6" s="535"/>
      <c r="V6" s="535"/>
      <c r="W6" s="535"/>
      <c r="X6" s="535"/>
      <c r="Y6" s="535"/>
      <c r="Z6" s="535"/>
      <c r="AA6" s="535"/>
      <c r="AB6" s="535"/>
      <c r="AC6" s="535"/>
      <c r="AD6" s="564"/>
    </row>
    <row r="7" spans="1:38">
      <c r="A7" s="108"/>
      <c r="B7" s="109"/>
      <c r="C7" s="109"/>
      <c r="D7" s="109"/>
      <c r="E7" s="109"/>
      <c r="F7" s="109"/>
      <c r="G7" s="109"/>
      <c r="H7" s="110"/>
      <c r="I7" s="110"/>
      <c r="J7" s="110"/>
      <c r="K7" s="110"/>
      <c r="L7" s="110"/>
      <c r="M7" s="1020"/>
      <c r="N7" s="1020"/>
      <c r="O7" s="1020"/>
      <c r="P7" s="1021"/>
      <c r="Q7" s="565" t="str">
        <f>'Checking Aids'!Q7:AD7</f>
        <v>?</v>
      </c>
      <c r="R7" s="599"/>
      <c r="S7" s="599"/>
      <c r="T7" s="599"/>
      <c r="U7" s="599"/>
      <c r="V7" s="599"/>
      <c r="W7" s="599"/>
      <c r="X7" s="599"/>
      <c r="Y7" s="599"/>
      <c r="Z7" s="599"/>
      <c r="AA7" s="599"/>
      <c r="AB7" s="599"/>
      <c r="AC7" s="599"/>
      <c r="AD7" s="600"/>
    </row>
    <row r="8" spans="1:38" ht="13.5" customHeight="1">
      <c r="A8" s="1095"/>
      <c r="B8" s="1096"/>
      <c r="C8" s="1096"/>
      <c r="D8" s="1096"/>
      <c r="E8" s="1096"/>
      <c r="F8" s="1096"/>
      <c r="G8" s="1096"/>
      <c r="H8" s="1096"/>
      <c r="I8" s="1096"/>
      <c r="J8" s="1096"/>
      <c r="K8" s="1096"/>
      <c r="L8" s="1096"/>
      <c r="M8" s="1096"/>
      <c r="N8" s="1096"/>
      <c r="O8" s="1096"/>
      <c r="P8" s="1097"/>
      <c r="Q8" s="534" t="str">
        <f>'MAT Test'!R8</f>
        <v>ENGINEERING CHANGE DOCUMENTS:</v>
      </c>
      <c r="R8" s="535"/>
      <c r="S8" s="535"/>
      <c r="T8" s="535"/>
      <c r="U8" s="535"/>
      <c r="V8" s="535"/>
      <c r="W8" s="535"/>
      <c r="X8" s="535"/>
      <c r="Y8" s="535"/>
      <c r="Z8" s="535"/>
      <c r="AA8" s="535"/>
      <c r="AB8" s="535"/>
      <c r="AC8" s="535"/>
      <c r="AD8" s="564"/>
    </row>
    <row r="9" spans="1:38">
      <c r="A9" s="1095"/>
      <c r="B9" s="1096"/>
      <c r="C9" s="1096"/>
      <c r="D9" s="1096"/>
      <c r="E9" s="1096"/>
      <c r="F9" s="1096"/>
      <c r="G9" s="1096"/>
      <c r="H9" s="1096"/>
      <c r="I9" s="1096"/>
      <c r="J9" s="1096"/>
      <c r="K9" s="1096"/>
      <c r="L9" s="1096"/>
      <c r="M9" s="1096"/>
      <c r="N9" s="1096"/>
      <c r="O9" s="1096"/>
      <c r="P9" s="1097"/>
      <c r="Q9" s="565" t="str">
        <f>'Checking Aids'!Q9:AD9</f>
        <v>?</v>
      </c>
      <c r="R9" s="599"/>
      <c r="S9" s="599"/>
      <c r="T9" s="599"/>
      <c r="U9" s="599"/>
      <c r="V9" s="599"/>
      <c r="W9" s="599"/>
      <c r="X9" s="599"/>
      <c r="Y9" s="599"/>
      <c r="Z9" s="599"/>
      <c r="AA9" s="599"/>
      <c r="AB9" s="599"/>
      <c r="AC9" s="599"/>
      <c r="AD9" s="600"/>
    </row>
    <row r="10" spans="1:38" ht="3.75" customHeight="1" thickBot="1">
      <c r="A10" s="410"/>
      <c r="B10" s="411"/>
      <c r="C10" s="411"/>
      <c r="D10" s="411"/>
      <c r="E10" s="411"/>
      <c r="F10" s="411"/>
      <c r="G10" s="411"/>
      <c r="H10" s="411"/>
      <c r="I10" s="411"/>
      <c r="J10" s="411"/>
      <c r="K10" s="411"/>
      <c r="L10" s="411"/>
      <c r="M10" s="411"/>
      <c r="N10" s="411"/>
      <c r="O10" s="411"/>
      <c r="P10" s="412"/>
      <c r="Q10" s="408"/>
      <c r="R10" s="408"/>
      <c r="S10" s="408"/>
      <c r="T10" s="408"/>
      <c r="U10" s="408"/>
      <c r="V10" s="408"/>
      <c r="W10" s="408"/>
      <c r="X10" s="408"/>
      <c r="Y10" s="408"/>
      <c r="Z10" s="408"/>
      <c r="AA10" s="408"/>
      <c r="AB10" s="408"/>
      <c r="AC10" s="408"/>
      <c r="AD10" s="409"/>
    </row>
    <row r="11" spans="1:38" ht="45.75" customHeight="1" thickBot="1">
      <c r="A11" s="1125" t="str">
        <f>VLOOKUP("Weherewithconfirmthatalsoourpurchasedpartscomponentsarehomologated",Translations!$A:$T,MATCH(PSW!AO7,Translations!A1:P1,0),0)</f>
        <v>WE HEREWITH CONFIRM THAT ALSO OUR PURCHASED PARTS AND INHOUSE PRODUCED PARTS WERE HOMOLOGATED AND APPROVED ACCORDING TO THE PPAP PROCEDURE.
COPIES OF THE APPROVED PSW COVER SHEETS ARE ATTACHED TO THIS PPAP !</v>
      </c>
      <c r="B11" s="1126"/>
      <c r="C11" s="1126"/>
      <c r="D11" s="1126"/>
      <c r="E11" s="1126"/>
      <c r="F11" s="1126"/>
      <c r="G11" s="1126"/>
      <c r="H11" s="1126"/>
      <c r="I11" s="1126"/>
      <c r="J11" s="1126"/>
      <c r="K11" s="1126"/>
      <c r="L11" s="1126"/>
      <c r="M11" s="1126"/>
      <c r="N11" s="1126"/>
      <c r="O11" s="1126"/>
      <c r="P11" s="1126"/>
      <c r="Q11" s="1126"/>
      <c r="R11" s="1126"/>
      <c r="S11" s="1126"/>
      <c r="T11" s="1126"/>
      <c r="U11" s="1126"/>
      <c r="V11" s="1126"/>
      <c r="W11" s="1126"/>
      <c r="X11" s="1126"/>
      <c r="Y11" s="1126"/>
      <c r="Z11" s="1126"/>
      <c r="AA11" s="1126"/>
      <c r="AB11" s="1126"/>
      <c r="AC11" s="1126"/>
      <c r="AD11" s="1127"/>
    </row>
    <row r="12" spans="1:38" ht="33.75" customHeight="1" thickBot="1">
      <c r="A12" s="1128" t="str">
        <f>VLOOKUP("nameandadressofyoursuppliers",Translations!$A:$T,MATCH(PSW!AO7,Translations!A1:P1,0),0)</f>
        <v>NAME AND ADRESS OF THE SUB-SUPPLIERS</v>
      </c>
      <c r="B12" s="1129"/>
      <c r="C12" s="1129"/>
      <c r="D12" s="1129"/>
      <c r="E12" s="1129"/>
      <c r="F12" s="1129"/>
      <c r="G12" s="1129"/>
      <c r="H12" s="1129"/>
      <c r="I12" s="1129"/>
      <c r="J12" s="1129"/>
      <c r="K12" s="1130"/>
      <c r="L12" s="1131" t="str">
        <f>VLOOKUP("nameandnumberofthepurchasedparts",Translations!$A:$T,MATCH(PSW!AO7,Translations!A1:P1,0),0)</f>
        <v>NAME AND NUMBER OF THE PURCHASED PARTS</v>
      </c>
      <c r="M12" s="1129"/>
      <c r="N12" s="1129"/>
      <c r="O12" s="1129"/>
      <c r="P12" s="1129"/>
      <c r="Q12" s="1129"/>
      <c r="R12" s="1129"/>
      <c r="S12" s="1129"/>
      <c r="T12" s="1130"/>
      <c r="U12" s="1129" t="str">
        <f>VLOOKUP("status",Translations!$A:$T,MATCH(PSW!AO7,Translations!A1:P1,0),0)</f>
        <v>STATUS</v>
      </c>
      <c r="V12" s="1129"/>
      <c r="W12" s="1129"/>
      <c r="X12" s="1129"/>
      <c r="Y12" s="1129"/>
      <c r="Z12" s="1131" t="str">
        <f>VLOOKUP("comment",Translations!$A:$T,MATCH(PSW!AO7,Translations!A1:P1,0),0)</f>
        <v>COMMENT</v>
      </c>
      <c r="AA12" s="1129"/>
      <c r="AB12" s="1129"/>
      <c r="AC12" s="1129"/>
      <c r="AD12" s="1132"/>
      <c r="AF12" s="25"/>
      <c r="AG12" s="21"/>
      <c r="AI12" s="21"/>
      <c r="AJ12" s="24"/>
      <c r="AK12" s="21"/>
      <c r="AL12" s="21"/>
    </row>
    <row r="13" spans="1:38" ht="27" customHeight="1">
      <c r="A13" s="730"/>
      <c r="B13" s="732"/>
      <c r="C13" s="732"/>
      <c r="D13" s="732"/>
      <c r="E13" s="732"/>
      <c r="F13" s="732"/>
      <c r="G13" s="732"/>
      <c r="H13" s="732"/>
      <c r="I13" s="732"/>
      <c r="J13" s="732"/>
      <c r="K13" s="731"/>
      <c r="L13" s="767"/>
      <c r="M13" s="732"/>
      <c r="N13" s="732"/>
      <c r="O13" s="732"/>
      <c r="P13" s="732"/>
      <c r="Q13" s="732"/>
      <c r="R13" s="732"/>
      <c r="S13" s="732"/>
      <c r="T13" s="731"/>
      <c r="U13" s="767"/>
      <c r="V13" s="732"/>
      <c r="W13" s="732"/>
      <c r="X13" s="732"/>
      <c r="Y13" s="731"/>
      <c r="Z13" s="767"/>
      <c r="AA13" s="732"/>
      <c r="AB13" s="732"/>
      <c r="AC13" s="732"/>
      <c r="AD13" s="1133"/>
      <c r="AF13" s="25"/>
      <c r="AG13" s="21"/>
      <c r="AK13" s="21"/>
    </row>
    <row r="14" spans="1:38" ht="27" customHeight="1">
      <c r="A14" s="1121"/>
      <c r="B14" s="1114"/>
      <c r="C14" s="1114"/>
      <c r="D14" s="1114"/>
      <c r="E14" s="1114"/>
      <c r="F14" s="1114"/>
      <c r="G14" s="1114"/>
      <c r="H14" s="1114"/>
      <c r="I14" s="1114"/>
      <c r="J14" s="1114"/>
      <c r="K14" s="1120"/>
      <c r="L14" s="1113"/>
      <c r="M14" s="1114"/>
      <c r="N14" s="1114"/>
      <c r="O14" s="1114"/>
      <c r="P14" s="1114"/>
      <c r="Q14" s="1114"/>
      <c r="R14" s="1114"/>
      <c r="S14" s="1114"/>
      <c r="T14" s="1120"/>
      <c r="U14" s="1113"/>
      <c r="V14" s="1114"/>
      <c r="W14" s="1114"/>
      <c r="X14" s="1114"/>
      <c r="Y14" s="1120"/>
      <c r="Z14" s="1113"/>
      <c r="AA14" s="1114"/>
      <c r="AB14" s="1114"/>
      <c r="AC14" s="1114"/>
      <c r="AD14" s="1115"/>
      <c r="AK14" s="21"/>
    </row>
    <row r="15" spans="1:38" ht="27" customHeight="1">
      <c r="A15" s="1121"/>
      <c r="B15" s="1114"/>
      <c r="C15" s="1114"/>
      <c r="D15" s="1114"/>
      <c r="E15" s="1114"/>
      <c r="F15" s="1114"/>
      <c r="G15" s="1114"/>
      <c r="H15" s="1114"/>
      <c r="I15" s="1114"/>
      <c r="J15" s="1114"/>
      <c r="K15" s="1120"/>
      <c r="L15" s="1113"/>
      <c r="M15" s="1114"/>
      <c r="N15" s="1114"/>
      <c r="O15" s="1114"/>
      <c r="P15" s="1114"/>
      <c r="Q15" s="1114"/>
      <c r="R15" s="1114"/>
      <c r="S15" s="1114"/>
      <c r="T15" s="1120"/>
      <c r="U15" s="1113"/>
      <c r="V15" s="1114"/>
      <c r="W15" s="1114"/>
      <c r="X15" s="1114"/>
      <c r="Y15" s="1120"/>
      <c r="Z15" s="1113"/>
      <c r="AA15" s="1114"/>
      <c r="AB15" s="1114"/>
      <c r="AC15" s="1114"/>
      <c r="AD15" s="1115"/>
    </row>
    <row r="16" spans="1:38" ht="27" customHeight="1">
      <c r="A16" s="1121"/>
      <c r="B16" s="1114"/>
      <c r="C16" s="1114"/>
      <c r="D16" s="1114"/>
      <c r="E16" s="1114"/>
      <c r="F16" s="1114"/>
      <c r="G16" s="1114"/>
      <c r="H16" s="1114"/>
      <c r="I16" s="1114"/>
      <c r="J16" s="1114"/>
      <c r="K16" s="1120"/>
      <c r="L16" s="1113"/>
      <c r="M16" s="1114"/>
      <c r="N16" s="1114"/>
      <c r="O16" s="1114"/>
      <c r="P16" s="1114"/>
      <c r="Q16" s="1114"/>
      <c r="R16" s="1114"/>
      <c r="S16" s="1114"/>
      <c r="T16" s="1120"/>
      <c r="U16" s="1113"/>
      <c r="V16" s="1114"/>
      <c r="W16" s="1114"/>
      <c r="X16" s="1114"/>
      <c r="Y16" s="1120"/>
      <c r="Z16" s="1113"/>
      <c r="AA16" s="1114"/>
      <c r="AB16" s="1114"/>
      <c r="AC16" s="1114"/>
      <c r="AD16" s="1115"/>
    </row>
    <row r="17" spans="1:30" ht="27" customHeight="1">
      <c r="A17" s="1121"/>
      <c r="B17" s="1114"/>
      <c r="C17" s="1114"/>
      <c r="D17" s="1114"/>
      <c r="E17" s="1114"/>
      <c r="F17" s="1114"/>
      <c r="G17" s="1114"/>
      <c r="H17" s="1114"/>
      <c r="I17" s="1114"/>
      <c r="J17" s="1114"/>
      <c r="K17" s="1120"/>
      <c r="L17" s="1113"/>
      <c r="M17" s="1114"/>
      <c r="N17" s="1114"/>
      <c r="O17" s="1114"/>
      <c r="P17" s="1114"/>
      <c r="Q17" s="1114"/>
      <c r="R17" s="1114"/>
      <c r="S17" s="1114"/>
      <c r="T17" s="1120"/>
      <c r="U17" s="1113"/>
      <c r="V17" s="1114"/>
      <c r="W17" s="1114"/>
      <c r="X17" s="1114"/>
      <c r="Y17" s="1120"/>
      <c r="Z17" s="1113"/>
      <c r="AA17" s="1114"/>
      <c r="AB17" s="1114"/>
      <c r="AC17" s="1114"/>
      <c r="AD17" s="1115"/>
    </row>
    <row r="18" spans="1:30" ht="27" customHeight="1">
      <c r="A18" s="1121"/>
      <c r="B18" s="1114"/>
      <c r="C18" s="1114"/>
      <c r="D18" s="1114"/>
      <c r="E18" s="1114"/>
      <c r="F18" s="1114"/>
      <c r="G18" s="1114"/>
      <c r="H18" s="1114"/>
      <c r="I18" s="1114"/>
      <c r="J18" s="1114"/>
      <c r="K18" s="1120"/>
      <c r="L18" s="1113"/>
      <c r="M18" s="1114"/>
      <c r="N18" s="1114"/>
      <c r="O18" s="1114"/>
      <c r="P18" s="1114"/>
      <c r="Q18" s="1114"/>
      <c r="R18" s="1114"/>
      <c r="S18" s="1114"/>
      <c r="T18" s="1120"/>
      <c r="U18" s="1113"/>
      <c r="V18" s="1114"/>
      <c r="W18" s="1114"/>
      <c r="X18" s="1114"/>
      <c r="Y18" s="1120"/>
      <c r="Z18" s="1113"/>
      <c r="AA18" s="1114"/>
      <c r="AB18" s="1114"/>
      <c r="AC18" s="1114"/>
      <c r="AD18" s="1115"/>
    </row>
    <row r="19" spans="1:30" ht="27" customHeight="1">
      <c r="A19" s="1121"/>
      <c r="B19" s="1114"/>
      <c r="C19" s="1114"/>
      <c r="D19" s="1114"/>
      <c r="E19" s="1114"/>
      <c r="F19" s="1114"/>
      <c r="G19" s="1114"/>
      <c r="H19" s="1114"/>
      <c r="I19" s="1114"/>
      <c r="J19" s="1114"/>
      <c r="K19" s="1120"/>
      <c r="L19" s="1113"/>
      <c r="M19" s="1114"/>
      <c r="N19" s="1114"/>
      <c r="O19" s="1114"/>
      <c r="P19" s="1114"/>
      <c r="Q19" s="1114"/>
      <c r="R19" s="1114"/>
      <c r="S19" s="1114"/>
      <c r="T19" s="1120"/>
      <c r="U19" s="1113"/>
      <c r="V19" s="1114"/>
      <c r="W19" s="1114"/>
      <c r="X19" s="1114"/>
      <c r="Y19" s="1120"/>
      <c r="Z19" s="1113"/>
      <c r="AA19" s="1114"/>
      <c r="AB19" s="1114"/>
      <c r="AC19" s="1114"/>
      <c r="AD19" s="1115"/>
    </row>
    <row r="20" spans="1:30" ht="27" customHeight="1">
      <c r="A20" s="1121"/>
      <c r="B20" s="1114"/>
      <c r="C20" s="1114"/>
      <c r="D20" s="1114"/>
      <c r="E20" s="1114"/>
      <c r="F20" s="1114"/>
      <c r="G20" s="1114"/>
      <c r="H20" s="1114"/>
      <c r="I20" s="1114"/>
      <c r="J20" s="1114"/>
      <c r="K20" s="1120"/>
      <c r="L20" s="1113"/>
      <c r="M20" s="1114"/>
      <c r="N20" s="1114"/>
      <c r="O20" s="1114"/>
      <c r="P20" s="1114"/>
      <c r="Q20" s="1114"/>
      <c r="R20" s="1114"/>
      <c r="S20" s="1114"/>
      <c r="T20" s="1120"/>
      <c r="U20" s="1113"/>
      <c r="V20" s="1114"/>
      <c r="W20" s="1114"/>
      <c r="X20" s="1114"/>
      <c r="Y20" s="1120"/>
      <c r="Z20" s="1113"/>
      <c r="AA20" s="1114"/>
      <c r="AB20" s="1114"/>
      <c r="AC20" s="1114"/>
      <c r="AD20" s="1115"/>
    </row>
    <row r="21" spans="1:30" ht="27" customHeight="1">
      <c r="A21" s="1121"/>
      <c r="B21" s="1114"/>
      <c r="C21" s="1114"/>
      <c r="D21" s="1114"/>
      <c r="E21" s="1114"/>
      <c r="F21" s="1114"/>
      <c r="G21" s="1114"/>
      <c r="H21" s="1114"/>
      <c r="I21" s="1114"/>
      <c r="J21" s="1114"/>
      <c r="K21" s="1120"/>
      <c r="L21" s="1113"/>
      <c r="M21" s="1114"/>
      <c r="N21" s="1114"/>
      <c r="O21" s="1114"/>
      <c r="P21" s="1114"/>
      <c r="Q21" s="1114"/>
      <c r="R21" s="1114"/>
      <c r="S21" s="1114"/>
      <c r="T21" s="1120"/>
      <c r="U21" s="1113"/>
      <c r="V21" s="1114"/>
      <c r="W21" s="1114"/>
      <c r="X21" s="1114"/>
      <c r="Y21" s="1120"/>
      <c r="Z21" s="1113"/>
      <c r="AA21" s="1114"/>
      <c r="AB21" s="1114"/>
      <c r="AC21" s="1114"/>
      <c r="AD21" s="1115"/>
    </row>
    <row r="22" spans="1:30" ht="27" customHeight="1">
      <c r="A22" s="1121"/>
      <c r="B22" s="1114"/>
      <c r="C22" s="1114"/>
      <c r="D22" s="1114"/>
      <c r="E22" s="1114"/>
      <c r="F22" s="1114"/>
      <c r="G22" s="1114"/>
      <c r="H22" s="1114"/>
      <c r="I22" s="1114"/>
      <c r="J22" s="1114"/>
      <c r="K22" s="1120"/>
      <c r="L22" s="1113"/>
      <c r="M22" s="1114"/>
      <c r="N22" s="1114"/>
      <c r="O22" s="1114"/>
      <c r="P22" s="1114"/>
      <c r="Q22" s="1114"/>
      <c r="R22" s="1114"/>
      <c r="S22" s="1114"/>
      <c r="T22" s="1120"/>
      <c r="U22" s="1113"/>
      <c r="V22" s="1114"/>
      <c r="W22" s="1114"/>
      <c r="X22" s="1114"/>
      <c r="Y22" s="1120"/>
      <c r="Z22" s="1113"/>
      <c r="AA22" s="1114"/>
      <c r="AB22" s="1114"/>
      <c r="AC22" s="1114"/>
      <c r="AD22" s="1115"/>
    </row>
    <row r="23" spans="1:30" ht="27" customHeight="1">
      <c r="A23" s="1121"/>
      <c r="B23" s="1114"/>
      <c r="C23" s="1114"/>
      <c r="D23" s="1114"/>
      <c r="E23" s="1114"/>
      <c r="F23" s="1114"/>
      <c r="G23" s="1114"/>
      <c r="H23" s="1114"/>
      <c r="I23" s="1114"/>
      <c r="J23" s="1114"/>
      <c r="K23" s="1120"/>
      <c r="L23" s="1113"/>
      <c r="M23" s="1114"/>
      <c r="N23" s="1114"/>
      <c r="O23" s="1114"/>
      <c r="P23" s="1114"/>
      <c r="Q23" s="1114"/>
      <c r="R23" s="1114"/>
      <c r="S23" s="1114"/>
      <c r="T23" s="1120"/>
      <c r="U23" s="1113"/>
      <c r="V23" s="1114"/>
      <c r="W23" s="1114"/>
      <c r="X23" s="1114"/>
      <c r="Y23" s="1120"/>
      <c r="Z23" s="1113"/>
      <c r="AA23" s="1114"/>
      <c r="AB23" s="1114"/>
      <c r="AC23" s="1114"/>
      <c r="AD23" s="1115"/>
    </row>
    <row r="24" spans="1:30" ht="27" customHeight="1">
      <c r="A24" s="1121"/>
      <c r="B24" s="1114"/>
      <c r="C24" s="1114"/>
      <c r="D24" s="1114"/>
      <c r="E24" s="1114"/>
      <c r="F24" s="1114"/>
      <c r="G24" s="1114"/>
      <c r="H24" s="1114"/>
      <c r="I24" s="1114"/>
      <c r="J24" s="1114"/>
      <c r="K24" s="1120"/>
      <c r="L24" s="1113"/>
      <c r="M24" s="1114"/>
      <c r="N24" s="1114"/>
      <c r="O24" s="1114"/>
      <c r="P24" s="1114"/>
      <c r="Q24" s="1114"/>
      <c r="R24" s="1114"/>
      <c r="S24" s="1114"/>
      <c r="T24" s="1120"/>
      <c r="U24" s="1113"/>
      <c r="V24" s="1114"/>
      <c r="W24" s="1114"/>
      <c r="X24" s="1114"/>
      <c r="Y24" s="1120"/>
      <c r="Z24" s="1113"/>
      <c r="AA24" s="1114"/>
      <c r="AB24" s="1114"/>
      <c r="AC24" s="1114"/>
      <c r="AD24" s="1115"/>
    </row>
    <row r="25" spans="1:30" ht="27" customHeight="1">
      <c r="A25" s="1121"/>
      <c r="B25" s="1114"/>
      <c r="C25" s="1114"/>
      <c r="D25" s="1114"/>
      <c r="E25" s="1114"/>
      <c r="F25" s="1114"/>
      <c r="G25" s="1114"/>
      <c r="H25" s="1114"/>
      <c r="I25" s="1114"/>
      <c r="J25" s="1114"/>
      <c r="K25" s="1120"/>
      <c r="L25" s="1113"/>
      <c r="M25" s="1114"/>
      <c r="N25" s="1114"/>
      <c r="O25" s="1114"/>
      <c r="P25" s="1114"/>
      <c r="Q25" s="1114"/>
      <c r="R25" s="1114"/>
      <c r="S25" s="1114"/>
      <c r="T25" s="1120"/>
      <c r="U25" s="1113"/>
      <c r="V25" s="1114"/>
      <c r="W25" s="1114"/>
      <c r="X25" s="1114"/>
      <c r="Y25" s="1120"/>
      <c r="Z25" s="1113"/>
      <c r="AA25" s="1114"/>
      <c r="AB25" s="1114"/>
      <c r="AC25" s="1114"/>
      <c r="AD25" s="1115"/>
    </row>
    <row r="26" spans="1:30" ht="27" customHeight="1">
      <c r="A26" s="1121"/>
      <c r="B26" s="1114"/>
      <c r="C26" s="1114"/>
      <c r="D26" s="1114"/>
      <c r="E26" s="1114"/>
      <c r="F26" s="1114"/>
      <c r="G26" s="1114"/>
      <c r="H26" s="1114"/>
      <c r="I26" s="1114"/>
      <c r="J26" s="1114"/>
      <c r="K26" s="1120"/>
      <c r="L26" s="1113"/>
      <c r="M26" s="1114"/>
      <c r="N26" s="1114"/>
      <c r="O26" s="1114"/>
      <c r="P26" s="1114"/>
      <c r="Q26" s="1114"/>
      <c r="R26" s="1114"/>
      <c r="S26" s="1114"/>
      <c r="T26" s="1120"/>
      <c r="U26" s="1113"/>
      <c r="V26" s="1114"/>
      <c r="W26" s="1114"/>
      <c r="X26" s="1114"/>
      <c r="Y26" s="1120"/>
      <c r="Z26" s="1113"/>
      <c r="AA26" s="1114"/>
      <c r="AB26" s="1114"/>
      <c r="AC26" s="1114"/>
      <c r="AD26" s="1115"/>
    </row>
    <row r="27" spans="1:30" ht="27" customHeight="1">
      <c r="A27" s="1121"/>
      <c r="B27" s="1114"/>
      <c r="C27" s="1114"/>
      <c r="D27" s="1114"/>
      <c r="E27" s="1114"/>
      <c r="F27" s="1114"/>
      <c r="G27" s="1114"/>
      <c r="H27" s="1114"/>
      <c r="I27" s="1114"/>
      <c r="J27" s="1114"/>
      <c r="K27" s="1120"/>
      <c r="L27" s="1113"/>
      <c r="M27" s="1114"/>
      <c r="N27" s="1114"/>
      <c r="O27" s="1114"/>
      <c r="P27" s="1114"/>
      <c r="Q27" s="1114"/>
      <c r="R27" s="1114"/>
      <c r="S27" s="1114"/>
      <c r="T27" s="1120"/>
      <c r="U27" s="1113"/>
      <c r="V27" s="1114"/>
      <c r="W27" s="1114"/>
      <c r="X27" s="1114"/>
      <c r="Y27" s="1120"/>
      <c r="Z27" s="1113"/>
      <c r="AA27" s="1114"/>
      <c r="AB27" s="1114"/>
      <c r="AC27" s="1114"/>
      <c r="AD27" s="1115"/>
    </row>
    <row r="28" spans="1:30" ht="27" customHeight="1">
      <c r="A28" s="1121"/>
      <c r="B28" s="1114"/>
      <c r="C28" s="1114"/>
      <c r="D28" s="1114"/>
      <c r="E28" s="1114"/>
      <c r="F28" s="1114"/>
      <c r="G28" s="1114"/>
      <c r="H28" s="1114"/>
      <c r="I28" s="1114"/>
      <c r="J28" s="1114"/>
      <c r="K28" s="1120"/>
      <c r="L28" s="1113"/>
      <c r="M28" s="1114"/>
      <c r="N28" s="1114"/>
      <c r="O28" s="1114"/>
      <c r="P28" s="1114"/>
      <c r="Q28" s="1114"/>
      <c r="R28" s="1114"/>
      <c r="S28" s="1114"/>
      <c r="T28" s="1120"/>
      <c r="U28" s="1113"/>
      <c r="V28" s="1114"/>
      <c r="W28" s="1114"/>
      <c r="X28" s="1114"/>
      <c r="Y28" s="1120"/>
      <c r="Z28" s="1113"/>
      <c r="AA28" s="1114"/>
      <c r="AB28" s="1114"/>
      <c r="AC28" s="1114"/>
      <c r="AD28" s="1115"/>
    </row>
    <row r="29" spans="1:30" ht="27" customHeight="1">
      <c r="A29" s="1121"/>
      <c r="B29" s="1114"/>
      <c r="C29" s="1114"/>
      <c r="D29" s="1114"/>
      <c r="E29" s="1114"/>
      <c r="F29" s="1114"/>
      <c r="G29" s="1114"/>
      <c r="H29" s="1114"/>
      <c r="I29" s="1114"/>
      <c r="J29" s="1114"/>
      <c r="K29" s="1120"/>
      <c r="L29" s="1113"/>
      <c r="M29" s="1114"/>
      <c r="N29" s="1114"/>
      <c r="O29" s="1114"/>
      <c r="P29" s="1114"/>
      <c r="Q29" s="1114"/>
      <c r="R29" s="1114"/>
      <c r="S29" s="1114"/>
      <c r="T29" s="1120"/>
      <c r="U29" s="1113"/>
      <c r="V29" s="1114"/>
      <c r="W29" s="1114"/>
      <c r="X29" s="1114"/>
      <c r="Y29" s="1120"/>
      <c r="Z29" s="1113"/>
      <c r="AA29" s="1114"/>
      <c r="AB29" s="1114"/>
      <c r="AC29" s="1114"/>
      <c r="AD29" s="1115"/>
    </row>
    <row r="30" spans="1:30" ht="27" customHeight="1">
      <c r="A30" s="1121"/>
      <c r="B30" s="1114"/>
      <c r="C30" s="1114"/>
      <c r="D30" s="1114"/>
      <c r="E30" s="1114"/>
      <c r="F30" s="1114"/>
      <c r="G30" s="1114"/>
      <c r="H30" s="1114"/>
      <c r="I30" s="1114"/>
      <c r="J30" s="1114"/>
      <c r="K30" s="1120"/>
      <c r="L30" s="1113"/>
      <c r="M30" s="1114"/>
      <c r="N30" s="1114"/>
      <c r="O30" s="1114"/>
      <c r="P30" s="1114"/>
      <c r="Q30" s="1114"/>
      <c r="R30" s="1114"/>
      <c r="S30" s="1114"/>
      <c r="T30" s="1120"/>
      <c r="U30" s="1113"/>
      <c r="V30" s="1114"/>
      <c r="W30" s="1114"/>
      <c r="X30" s="1114"/>
      <c r="Y30" s="1120"/>
      <c r="Z30" s="1113"/>
      <c r="AA30" s="1114"/>
      <c r="AB30" s="1114"/>
      <c r="AC30" s="1114"/>
      <c r="AD30" s="1115"/>
    </row>
    <row r="31" spans="1:30" ht="27" customHeight="1">
      <c r="A31" s="1121"/>
      <c r="B31" s="1114"/>
      <c r="C31" s="1114"/>
      <c r="D31" s="1114"/>
      <c r="E31" s="1114"/>
      <c r="F31" s="1114"/>
      <c r="G31" s="1114"/>
      <c r="H31" s="1114"/>
      <c r="I31" s="1114"/>
      <c r="J31" s="1114"/>
      <c r="K31" s="1120"/>
      <c r="L31" s="1113"/>
      <c r="M31" s="1114"/>
      <c r="N31" s="1114"/>
      <c r="O31" s="1114"/>
      <c r="P31" s="1114"/>
      <c r="Q31" s="1114"/>
      <c r="R31" s="1114"/>
      <c r="S31" s="1114"/>
      <c r="T31" s="1120"/>
      <c r="U31" s="1113"/>
      <c r="V31" s="1114"/>
      <c r="W31" s="1114"/>
      <c r="X31" s="1114"/>
      <c r="Y31" s="1120"/>
      <c r="Z31" s="1113"/>
      <c r="AA31" s="1114"/>
      <c r="AB31" s="1114"/>
      <c r="AC31" s="1114"/>
      <c r="AD31" s="1115"/>
    </row>
    <row r="32" spans="1:30" ht="27" customHeight="1">
      <c r="A32" s="1121"/>
      <c r="B32" s="1114"/>
      <c r="C32" s="1114"/>
      <c r="D32" s="1114"/>
      <c r="E32" s="1114"/>
      <c r="F32" s="1114"/>
      <c r="G32" s="1114"/>
      <c r="H32" s="1114"/>
      <c r="I32" s="1114"/>
      <c r="J32" s="1114"/>
      <c r="K32" s="1120"/>
      <c r="L32" s="1113"/>
      <c r="M32" s="1114"/>
      <c r="N32" s="1114"/>
      <c r="O32" s="1114"/>
      <c r="P32" s="1114"/>
      <c r="Q32" s="1114"/>
      <c r="R32" s="1114"/>
      <c r="S32" s="1114"/>
      <c r="T32" s="1120"/>
      <c r="U32" s="1113"/>
      <c r="V32" s="1114"/>
      <c r="W32" s="1114"/>
      <c r="X32" s="1114"/>
      <c r="Y32" s="1120"/>
      <c r="Z32" s="1113"/>
      <c r="AA32" s="1114"/>
      <c r="AB32" s="1114"/>
      <c r="AC32" s="1114"/>
      <c r="AD32" s="1115"/>
    </row>
    <row r="33" spans="1:30" ht="27" customHeight="1">
      <c r="A33" s="1121"/>
      <c r="B33" s="1114"/>
      <c r="C33" s="1114"/>
      <c r="D33" s="1114"/>
      <c r="E33" s="1114"/>
      <c r="F33" s="1114"/>
      <c r="G33" s="1114"/>
      <c r="H33" s="1114"/>
      <c r="I33" s="1114"/>
      <c r="J33" s="1114"/>
      <c r="K33" s="1120"/>
      <c r="L33" s="1113"/>
      <c r="M33" s="1114"/>
      <c r="N33" s="1114"/>
      <c r="O33" s="1114"/>
      <c r="P33" s="1114"/>
      <c r="Q33" s="1114"/>
      <c r="R33" s="1114"/>
      <c r="S33" s="1114"/>
      <c r="T33" s="1120"/>
      <c r="U33" s="1113"/>
      <c r="V33" s="1114"/>
      <c r="W33" s="1114"/>
      <c r="X33" s="1114"/>
      <c r="Y33" s="1120"/>
      <c r="Z33" s="1113"/>
      <c r="AA33" s="1114"/>
      <c r="AB33" s="1114"/>
      <c r="AC33" s="1114"/>
      <c r="AD33" s="1115"/>
    </row>
    <row r="34" spans="1:30" ht="27" customHeight="1">
      <c r="A34" s="1121"/>
      <c r="B34" s="1114"/>
      <c r="C34" s="1114"/>
      <c r="D34" s="1114"/>
      <c r="E34" s="1114"/>
      <c r="F34" s="1114"/>
      <c r="G34" s="1114"/>
      <c r="H34" s="1114"/>
      <c r="I34" s="1114"/>
      <c r="J34" s="1114"/>
      <c r="K34" s="1120"/>
      <c r="L34" s="1113"/>
      <c r="M34" s="1114"/>
      <c r="N34" s="1114"/>
      <c r="O34" s="1114"/>
      <c r="P34" s="1114"/>
      <c r="Q34" s="1114"/>
      <c r="R34" s="1114"/>
      <c r="S34" s="1114"/>
      <c r="T34" s="1120"/>
      <c r="U34" s="1113"/>
      <c r="V34" s="1114"/>
      <c r="W34" s="1114"/>
      <c r="X34" s="1114"/>
      <c r="Y34" s="1120"/>
      <c r="Z34" s="1113"/>
      <c r="AA34" s="1114"/>
      <c r="AB34" s="1114"/>
      <c r="AC34" s="1114"/>
      <c r="AD34" s="1115"/>
    </row>
    <row r="35" spans="1:30" ht="27" customHeight="1">
      <c r="A35" s="1121"/>
      <c r="B35" s="1114"/>
      <c r="C35" s="1114"/>
      <c r="D35" s="1114"/>
      <c r="E35" s="1114"/>
      <c r="F35" s="1114"/>
      <c r="G35" s="1114"/>
      <c r="H35" s="1114"/>
      <c r="I35" s="1114"/>
      <c r="J35" s="1114"/>
      <c r="K35" s="1120"/>
      <c r="L35" s="1113"/>
      <c r="M35" s="1114"/>
      <c r="N35" s="1114"/>
      <c r="O35" s="1114"/>
      <c r="P35" s="1114"/>
      <c r="Q35" s="1114"/>
      <c r="R35" s="1114"/>
      <c r="S35" s="1114"/>
      <c r="T35" s="1120"/>
      <c r="U35" s="1113"/>
      <c r="V35" s="1114"/>
      <c r="W35" s="1114"/>
      <c r="X35" s="1114"/>
      <c r="Y35" s="1120"/>
      <c r="Z35" s="1113"/>
      <c r="AA35" s="1114"/>
      <c r="AB35" s="1114"/>
      <c r="AC35" s="1114"/>
      <c r="AD35" s="1115"/>
    </row>
    <row r="36" spans="1:30" ht="27" customHeight="1">
      <c r="A36" s="1121"/>
      <c r="B36" s="1114"/>
      <c r="C36" s="1114"/>
      <c r="D36" s="1114"/>
      <c r="E36" s="1114"/>
      <c r="F36" s="1114"/>
      <c r="G36" s="1114"/>
      <c r="H36" s="1114"/>
      <c r="I36" s="1114"/>
      <c r="J36" s="1114"/>
      <c r="K36" s="1120"/>
      <c r="L36" s="1113"/>
      <c r="M36" s="1114"/>
      <c r="N36" s="1114"/>
      <c r="O36" s="1114"/>
      <c r="P36" s="1114"/>
      <c r="Q36" s="1114"/>
      <c r="R36" s="1114"/>
      <c r="S36" s="1114"/>
      <c r="T36" s="1120"/>
      <c r="U36" s="1113"/>
      <c r="V36" s="1114"/>
      <c r="W36" s="1114"/>
      <c r="X36" s="1114"/>
      <c r="Y36" s="1120"/>
      <c r="Z36" s="1113"/>
      <c r="AA36" s="1114"/>
      <c r="AB36" s="1114"/>
      <c r="AC36" s="1114"/>
      <c r="AD36" s="1115"/>
    </row>
    <row r="37" spans="1:30" ht="27" customHeight="1">
      <c r="A37" s="1121"/>
      <c r="B37" s="1114"/>
      <c r="C37" s="1114"/>
      <c r="D37" s="1114"/>
      <c r="E37" s="1114"/>
      <c r="F37" s="1114"/>
      <c r="G37" s="1114"/>
      <c r="H37" s="1114"/>
      <c r="I37" s="1114"/>
      <c r="J37" s="1114"/>
      <c r="K37" s="1120"/>
      <c r="L37" s="1113"/>
      <c r="M37" s="1114"/>
      <c r="N37" s="1114"/>
      <c r="O37" s="1114"/>
      <c r="P37" s="1114"/>
      <c r="Q37" s="1114"/>
      <c r="R37" s="1114"/>
      <c r="S37" s="1114"/>
      <c r="T37" s="1120"/>
      <c r="U37" s="1113"/>
      <c r="V37" s="1114"/>
      <c r="W37" s="1114"/>
      <c r="X37" s="1114"/>
      <c r="Y37" s="1120"/>
      <c r="Z37" s="1113"/>
      <c r="AA37" s="1114"/>
      <c r="AB37" s="1114"/>
      <c r="AC37" s="1114"/>
      <c r="AD37" s="1115"/>
    </row>
    <row r="38" spans="1:30" ht="27" customHeight="1">
      <c r="A38" s="1121"/>
      <c r="B38" s="1114"/>
      <c r="C38" s="1114"/>
      <c r="D38" s="1114"/>
      <c r="E38" s="1114"/>
      <c r="F38" s="1114"/>
      <c r="G38" s="1114"/>
      <c r="H38" s="1114"/>
      <c r="I38" s="1114"/>
      <c r="J38" s="1114"/>
      <c r="K38" s="1120"/>
      <c r="L38" s="1113"/>
      <c r="M38" s="1114"/>
      <c r="N38" s="1114"/>
      <c r="O38" s="1114"/>
      <c r="P38" s="1114"/>
      <c r="Q38" s="1114"/>
      <c r="R38" s="1114"/>
      <c r="S38" s="1114"/>
      <c r="T38" s="1120"/>
      <c r="U38" s="1113"/>
      <c r="V38" s="1114"/>
      <c r="W38" s="1114"/>
      <c r="X38" s="1114"/>
      <c r="Y38" s="1120"/>
      <c r="Z38" s="1113"/>
      <c r="AA38" s="1114"/>
      <c r="AB38" s="1114"/>
      <c r="AC38" s="1114"/>
      <c r="AD38" s="1115"/>
    </row>
    <row r="39" spans="1:30" ht="27" customHeight="1">
      <c r="A39" s="1121"/>
      <c r="B39" s="1114"/>
      <c r="C39" s="1114"/>
      <c r="D39" s="1114"/>
      <c r="E39" s="1114"/>
      <c r="F39" s="1114"/>
      <c r="G39" s="1114"/>
      <c r="H39" s="1114"/>
      <c r="I39" s="1114"/>
      <c r="J39" s="1114"/>
      <c r="K39" s="1120"/>
      <c r="L39" s="1113"/>
      <c r="M39" s="1114"/>
      <c r="N39" s="1114"/>
      <c r="O39" s="1114"/>
      <c r="P39" s="1114"/>
      <c r="Q39" s="1114"/>
      <c r="R39" s="1114"/>
      <c r="S39" s="1114"/>
      <c r="T39" s="1120"/>
      <c r="U39" s="1113"/>
      <c r="V39" s="1114"/>
      <c r="W39" s="1114"/>
      <c r="X39" s="1114"/>
      <c r="Y39" s="1120"/>
      <c r="Z39" s="1113"/>
      <c r="AA39" s="1114"/>
      <c r="AB39" s="1114"/>
      <c r="AC39" s="1114"/>
      <c r="AD39" s="1115"/>
    </row>
    <row r="40" spans="1:30" ht="27" customHeight="1">
      <c r="A40" s="1122"/>
      <c r="B40" s="1117"/>
      <c r="C40" s="1117"/>
      <c r="D40" s="1117"/>
      <c r="E40" s="1117"/>
      <c r="F40" s="1117"/>
      <c r="G40" s="1117"/>
      <c r="H40" s="1117"/>
      <c r="I40" s="1117"/>
      <c r="J40" s="1117"/>
      <c r="K40" s="1119"/>
      <c r="L40" s="1116"/>
      <c r="M40" s="1117"/>
      <c r="N40" s="1117"/>
      <c r="O40" s="1117"/>
      <c r="P40" s="1117"/>
      <c r="Q40" s="1117"/>
      <c r="R40" s="1117"/>
      <c r="S40" s="1117"/>
      <c r="T40" s="1119"/>
      <c r="U40" s="1116"/>
      <c r="V40" s="1117"/>
      <c r="W40" s="1117"/>
      <c r="X40" s="1117"/>
      <c r="Y40" s="1119"/>
      <c r="Z40" s="1116"/>
      <c r="AA40" s="1117"/>
      <c r="AB40" s="1117"/>
      <c r="AC40" s="1117"/>
      <c r="AD40" s="1118"/>
    </row>
    <row r="41" spans="1:30" ht="7.5" customHeight="1" thickBo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row>
    <row r="42" spans="1:30">
      <c r="A42" s="35"/>
      <c r="B42" s="35"/>
      <c r="C42" s="35"/>
      <c r="D42" s="35"/>
      <c r="E42" s="35"/>
      <c r="F42" s="35"/>
      <c r="G42" s="35"/>
      <c r="H42" s="35"/>
      <c r="I42" s="35"/>
      <c r="J42" s="35"/>
      <c r="K42" s="35"/>
      <c r="L42" s="495" t="str">
        <f>VLOOKUP("signature",Translations!$A:$T,MATCH(PSW!AO7,Translations!A1:P1,0),0)</f>
        <v>SIGNATURE</v>
      </c>
      <c r="M42" s="496"/>
      <c r="N42" s="496"/>
      <c r="O42" s="496"/>
      <c r="P42" s="496"/>
      <c r="Q42" s="496"/>
      <c r="R42" s="496"/>
      <c r="S42" s="496"/>
      <c r="T42" s="497"/>
      <c r="U42" s="496" t="str">
        <f>VLOOKUP("title1",Translations!$A:$T,MATCH(PSW!AO7,Translations!A1:P1,0),0)</f>
        <v>TITLE</v>
      </c>
      <c r="V42" s="496"/>
      <c r="W42" s="496"/>
      <c r="X42" s="496"/>
      <c r="Y42" s="496"/>
      <c r="Z42" s="496"/>
      <c r="AA42" s="496"/>
      <c r="AB42" s="497"/>
      <c r="AC42" s="498" t="str">
        <f>VLOOKUP("date1",Translations!$A:$T,MATCH(PSW!AO7,Translations!A1:P1,0),0)</f>
        <v>DATE</v>
      </c>
      <c r="AD42" s="499"/>
    </row>
    <row r="43" spans="1:30" ht="18" customHeight="1">
      <c r="A43" s="35"/>
      <c r="B43" s="35"/>
      <c r="C43" s="35"/>
      <c r="D43" s="35"/>
      <c r="E43" s="35"/>
      <c r="F43" s="35"/>
      <c r="G43" s="35"/>
      <c r="H43" s="35"/>
      <c r="I43" s="35"/>
      <c r="J43" s="35"/>
      <c r="K43" s="35"/>
      <c r="L43" s="500"/>
      <c r="M43" s="501"/>
      <c r="N43" s="501"/>
      <c r="O43" s="501"/>
      <c r="P43" s="501"/>
      <c r="Q43" s="501"/>
      <c r="R43" s="501"/>
      <c r="S43" s="501"/>
      <c r="T43" s="502"/>
      <c r="U43" s="742"/>
      <c r="V43" s="737"/>
      <c r="W43" s="737"/>
      <c r="X43" s="737"/>
      <c r="Y43" s="737"/>
      <c r="Z43" s="737"/>
      <c r="AA43" s="737"/>
      <c r="AB43" s="738"/>
      <c r="AC43" s="506"/>
      <c r="AD43" s="508"/>
    </row>
    <row r="44" spans="1:30" ht="24" customHeight="1" thickBot="1">
      <c r="A44" s="35"/>
      <c r="B44" s="35"/>
      <c r="C44" s="35"/>
      <c r="D44" s="35"/>
      <c r="E44" s="35"/>
      <c r="F44" s="35"/>
      <c r="G44" s="35"/>
      <c r="H44" s="35"/>
      <c r="I44" s="35"/>
      <c r="J44" s="35"/>
      <c r="K44" s="35"/>
      <c r="L44" s="503"/>
      <c r="M44" s="504"/>
      <c r="N44" s="504"/>
      <c r="O44" s="504"/>
      <c r="P44" s="504"/>
      <c r="Q44" s="504"/>
      <c r="R44" s="504"/>
      <c r="S44" s="504"/>
      <c r="T44" s="505"/>
      <c r="U44" s="743"/>
      <c r="V44" s="740"/>
      <c r="W44" s="740"/>
      <c r="X44" s="740"/>
      <c r="Y44" s="740"/>
      <c r="Z44" s="740"/>
      <c r="AA44" s="740"/>
      <c r="AB44" s="741"/>
      <c r="AC44" s="507"/>
      <c r="AD44" s="509"/>
    </row>
  </sheetData>
  <sheetProtection algorithmName="SHA-512" hashValue="ob9b0VAKfxUzxhHQQPsiOsLWMoqqFQ0LwB49BhwIS+GYbF+GpFCVuKcFajAhSpGsVEz3Hha9ZVTTGudf2icvjg==" saltValue="jpETM3XiwrGCRVl53NrnSw==" spinCount="100000" sheet="1" objects="1" scenarios="1" formatCells="0" formatColumns="0" formatRows="0" insertColumns="0" insertRows="0" deleteColumns="0" deleteRows="0" selectLockedCells="1"/>
  <mergeCells count="139">
    <mergeCell ref="P1:AC3"/>
    <mergeCell ref="H6:P6"/>
    <mergeCell ref="Q6:AD6"/>
    <mergeCell ref="M7:P7"/>
    <mergeCell ref="Q7:AD7"/>
    <mergeCell ref="A8:P9"/>
    <mergeCell ref="Q8:AD8"/>
    <mergeCell ref="U19:Y19"/>
    <mergeCell ref="A17:K17"/>
    <mergeCell ref="A18:K18"/>
    <mergeCell ref="A16:K16"/>
    <mergeCell ref="A14:K14"/>
    <mergeCell ref="A15:K15"/>
    <mergeCell ref="L14:T14"/>
    <mergeCell ref="A13:K13"/>
    <mergeCell ref="L13:T13"/>
    <mergeCell ref="Q9:AD9"/>
    <mergeCell ref="Z13:AD13"/>
    <mergeCell ref="U13:Y13"/>
    <mergeCell ref="U14:Y14"/>
    <mergeCell ref="U15:Y15"/>
    <mergeCell ref="L15:T15"/>
    <mergeCell ref="L16:T16"/>
    <mergeCell ref="U16:Y16"/>
    <mergeCell ref="AC42:AD42"/>
    <mergeCell ref="AC43:AD44"/>
    <mergeCell ref="U42:AB42"/>
    <mergeCell ref="U43:AB44"/>
    <mergeCell ref="L42:T42"/>
    <mergeCell ref="L43:T44"/>
    <mergeCell ref="A4:D4"/>
    <mergeCell ref="E4:P4"/>
    <mergeCell ref="Q4:T4"/>
    <mergeCell ref="U4:AD4"/>
    <mergeCell ref="A5:G5"/>
    <mergeCell ref="H5:P5"/>
    <mergeCell ref="Q5:U5"/>
    <mergeCell ref="V5:AD5"/>
    <mergeCell ref="A11:AD11"/>
    <mergeCell ref="A12:K12"/>
    <mergeCell ref="L12:T12"/>
    <mergeCell ref="U12:Y12"/>
    <mergeCell ref="Z12:AD12"/>
    <mergeCell ref="L23:T23"/>
    <mergeCell ref="L24:T24"/>
    <mergeCell ref="L25:T25"/>
    <mergeCell ref="L26:T26"/>
    <mergeCell ref="U20:Y20"/>
    <mergeCell ref="A22:K22"/>
    <mergeCell ref="A23:K23"/>
    <mergeCell ref="A21:K21"/>
    <mergeCell ref="A19:K19"/>
    <mergeCell ref="A20:K20"/>
    <mergeCell ref="A39:K39"/>
    <mergeCell ref="A40:K40"/>
    <mergeCell ref="A37:K37"/>
    <mergeCell ref="A38:K38"/>
    <mergeCell ref="A35:K35"/>
    <mergeCell ref="A36:K36"/>
    <mergeCell ref="A33:K33"/>
    <mergeCell ref="A34:K34"/>
    <mergeCell ref="A31:K31"/>
    <mergeCell ref="A32:K32"/>
    <mergeCell ref="A30:K30"/>
    <mergeCell ref="A28:K28"/>
    <mergeCell ref="A29:K29"/>
    <mergeCell ref="A26:K26"/>
    <mergeCell ref="A27:K27"/>
    <mergeCell ref="A24:K24"/>
    <mergeCell ref="A25:K25"/>
    <mergeCell ref="L40:T40"/>
    <mergeCell ref="L35:T35"/>
    <mergeCell ref="L36:T36"/>
    <mergeCell ref="L37:T37"/>
    <mergeCell ref="L38:T38"/>
    <mergeCell ref="L39:T39"/>
    <mergeCell ref="L19:T19"/>
    <mergeCell ref="L21:T21"/>
    <mergeCell ref="L22:T22"/>
    <mergeCell ref="L27:T27"/>
    <mergeCell ref="L28:T28"/>
    <mergeCell ref="U17:Y17"/>
    <mergeCell ref="U18:Y18"/>
    <mergeCell ref="L34:T34"/>
    <mergeCell ref="L30:T30"/>
    <mergeCell ref="L31:T31"/>
    <mergeCell ref="L32:T32"/>
    <mergeCell ref="L33:T33"/>
    <mergeCell ref="L29:T29"/>
    <mergeCell ref="U27:Y27"/>
    <mergeCell ref="U28:Y28"/>
    <mergeCell ref="U21:Y21"/>
    <mergeCell ref="U22:Y22"/>
    <mergeCell ref="U29:Y29"/>
    <mergeCell ref="U30:Y30"/>
    <mergeCell ref="U31:Y31"/>
    <mergeCell ref="U32:Y32"/>
    <mergeCell ref="U33:Y33"/>
    <mergeCell ref="U23:Y23"/>
    <mergeCell ref="U24:Y24"/>
    <mergeCell ref="U25:Y25"/>
    <mergeCell ref="L17:T17"/>
    <mergeCell ref="L18:T18"/>
    <mergeCell ref="L20:T20"/>
    <mergeCell ref="U40:Y40"/>
    <mergeCell ref="U34:Y34"/>
    <mergeCell ref="U35:Y35"/>
    <mergeCell ref="U36:Y36"/>
    <mergeCell ref="U37:Y37"/>
    <mergeCell ref="U38:Y38"/>
    <mergeCell ref="U39:Y39"/>
    <mergeCell ref="Z26:AD26"/>
    <mergeCell ref="Z27:AD27"/>
    <mergeCell ref="Z28:AD28"/>
    <mergeCell ref="Z29:AD29"/>
    <mergeCell ref="U26:Y26"/>
    <mergeCell ref="Z21:AD21"/>
    <mergeCell ref="Z22:AD22"/>
    <mergeCell ref="Z23:AD23"/>
    <mergeCell ref="Z24:AD24"/>
    <mergeCell ref="Z14:AD14"/>
    <mergeCell ref="Z15:AD15"/>
    <mergeCell ref="Z16:AD16"/>
    <mergeCell ref="Z17:AD17"/>
    <mergeCell ref="Z18:AD18"/>
    <mergeCell ref="Z19:AD19"/>
    <mergeCell ref="Z20:AD20"/>
    <mergeCell ref="Z25:AD25"/>
    <mergeCell ref="Z36:AD36"/>
    <mergeCell ref="Z37:AD37"/>
    <mergeCell ref="Z38:AD38"/>
    <mergeCell ref="Z39:AD39"/>
    <mergeCell ref="Z40:AD40"/>
    <mergeCell ref="Z30:AD30"/>
    <mergeCell ref="Z31:AD31"/>
    <mergeCell ref="Z32:AD32"/>
    <mergeCell ref="Z33:AD33"/>
    <mergeCell ref="Z34:AD34"/>
    <mergeCell ref="Z35:AD35"/>
  </mergeCells>
  <printOptions horizontalCentered="1"/>
  <pageMargins left="0.6692913385826772" right="0.59055118110236227" top="0.9055118110236221" bottom="0.70866141732283472" header="0.31496062992125984" footer="0.31496062992125984"/>
  <pageSetup paperSize="9" scale="72" orientation="portrait" r:id="rId1"/>
  <headerFooter>
    <oddHeader>&amp;R&amp;G</oddHeader>
    <oddFooter>&amp;LMHG-PU-F-0018&amp;CPPAP Template ; Rev.: 01/2019&amp;RJ.-U. Liedtke / PU-SD-GA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AR613"/>
  <sheetViews>
    <sheetView showGridLines="0" zoomScaleNormal="100" workbookViewId="0">
      <selection activeCell="A13" sqref="A13:AD81"/>
    </sheetView>
  </sheetViews>
  <sheetFormatPr baseColWidth="10" defaultColWidth="9.140625" defaultRowHeight="12.75"/>
  <cols>
    <col min="1" max="1" width="4.7109375" customWidth="1"/>
    <col min="2" max="6" width="3.42578125" customWidth="1"/>
    <col min="7" max="7" width="7.140625" customWidth="1"/>
    <col min="8" max="8" width="3.42578125" customWidth="1"/>
    <col min="9" max="9" width="4.7109375" customWidth="1"/>
    <col min="10" max="10" width="3.42578125" customWidth="1"/>
    <col min="11" max="11" width="2.7109375" customWidth="1"/>
    <col min="12" max="14" width="3.42578125" customWidth="1"/>
    <col min="15" max="15" width="3.85546875" customWidth="1"/>
    <col min="16" max="17" width="5.85546875" customWidth="1"/>
    <col min="18" max="18" width="2.7109375" customWidth="1"/>
    <col min="19" max="22" width="3.42578125" customWidth="1"/>
    <col min="23" max="23" width="1.7109375" customWidth="1"/>
    <col min="24" max="26" width="3.42578125" customWidth="1"/>
    <col min="27" max="27" width="2.7109375" customWidth="1"/>
    <col min="28" max="28" width="6.42578125" customWidth="1"/>
    <col min="29" max="29" width="4.7109375" customWidth="1"/>
    <col min="30" max="30" width="13.85546875" customWidth="1"/>
  </cols>
  <sheetData>
    <row r="1" spans="1:44" s="32" customFormat="1" ht="12.75" customHeight="1">
      <c r="A1" s="109"/>
      <c r="B1" s="109"/>
      <c r="C1" s="109"/>
      <c r="D1" s="109"/>
      <c r="E1" s="109"/>
      <c r="F1" s="109"/>
      <c r="G1" s="109"/>
      <c r="H1" s="109"/>
      <c r="I1" s="109"/>
      <c r="J1" s="109"/>
      <c r="K1" s="109"/>
      <c r="L1" s="109"/>
      <c r="M1" s="109"/>
      <c r="N1" s="109"/>
      <c r="O1" s="251"/>
      <c r="P1" s="1079" t="str">
        <f>VLOOKUP("ppappackaging",Translations!$A:$T,MATCH(PSW!AO7,Translations!A1:P1,0),0)</f>
        <v>Production Part Approval
Packaging</v>
      </c>
      <c r="Q1" s="1079"/>
      <c r="R1" s="1079"/>
      <c r="S1" s="1079"/>
      <c r="T1" s="1079"/>
      <c r="U1" s="1079"/>
      <c r="V1" s="1079"/>
      <c r="W1" s="1079"/>
      <c r="X1" s="1079"/>
      <c r="Y1" s="1079"/>
      <c r="Z1" s="1079"/>
      <c r="AA1" s="1079"/>
      <c r="AB1" s="1079"/>
      <c r="AC1" s="1079"/>
      <c r="AD1" s="251"/>
    </row>
    <row r="2" spans="1:44" s="32" customFormat="1" ht="12.75" customHeight="1">
      <c r="A2" s="109"/>
      <c r="B2" s="109"/>
      <c r="C2" s="109"/>
      <c r="D2" s="109"/>
      <c r="E2" s="109"/>
      <c r="F2" s="109"/>
      <c r="G2" s="109"/>
      <c r="H2" s="109"/>
      <c r="I2" s="109"/>
      <c r="J2" s="109"/>
      <c r="K2" s="109"/>
      <c r="L2" s="109"/>
      <c r="M2" s="109"/>
      <c r="N2" s="109"/>
      <c r="O2" s="251"/>
      <c r="P2" s="1079"/>
      <c r="Q2" s="1079"/>
      <c r="R2" s="1079"/>
      <c r="S2" s="1079"/>
      <c r="T2" s="1079"/>
      <c r="U2" s="1079"/>
      <c r="V2" s="1079"/>
      <c r="W2" s="1079"/>
      <c r="X2" s="1079"/>
      <c r="Y2" s="1079"/>
      <c r="Z2" s="1079"/>
      <c r="AA2" s="1079"/>
      <c r="AB2" s="1079"/>
      <c r="AC2" s="1079"/>
      <c r="AD2" s="251"/>
    </row>
    <row r="3" spans="1:44" s="32" customFormat="1" ht="13.5" customHeight="1" thickBot="1">
      <c r="A3" s="252"/>
      <c r="B3" s="252"/>
      <c r="C3" s="252"/>
      <c r="D3" s="252"/>
      <c r="E3" s="252"/>
      <c r="F3" s="252"/>
      <c r="G3" s="252"/>
      <c r="H3" s="252"/>
      <c r="I3" s="252"/>
      <c r="J3" s="252"/>
      <c r="K3" s="252"/>
      <c r="L3" s="252"/>
      <c r="M3" s="252"/>
      <c r="N3" s="252"/>
      <c r="O3" s="253"/>
      <c r="P3" s="1080"/>
      <c r="Q3" s="1080"/>
      <c r="R3" s="1080"/>
      <c r="S3" s="1080"/>
      <c r="T3" s="1080"/>
      <c r="U3" s="1080"/>
      <c r="V3" s="1080"/>
      <c r="W3" s="1080"/>
      <c r="X3" s="1080"/>
      <c r="Y3" s="1080"/>
      <c r="Z3" s="1080"/>
      <c r="AA3" s="1080"/>
      <c r="AB3" s="1080"/>
      <c r="AC3" s="1080"/>
      <c r="AD3" s="253"/>
    </row>
    <row r="4" spans="1:44" s="32" customFormat="1">
      <c r="A4" s="1083" t="str">
        <f>'MAT Test'!A4</f>
        <v>ORGANIZATION:</v>
      </c>
      <c r="B4" s="1084"/>
      <c r="C4" s="1084"/>
      <c r="D4" s="1084"/>
      <c r="E4" s="569" t="str">
        <f>'DIM Test'!E4:R4</f>
        <v>?</v>
      </c>
      <c r="F4" s="569"/>
      <c r="G4" s="569"/>
      <c r="H4" s="569"/>
      <c r="I4" s="569"/>
      <c r="J4" s="569"/>
      <c r="K4" s="569"/>
      <c r="L4" s="569"/>
      <c r="M4" s="569"/>
      <c r="N4" s="569"/>
      <c r="O4" s="569"/>
      <c r="P4" s="570"/>
      <c r="Q4" s="1083" t="str">
        <f>'MAT Test'!R4</f>
        <v>PART NUMBER:</v>
      </c>
      <c r="R4" s="1084"/>
      <c r="S4" s="1084"/>
      <c r="T4" s="1084"/>
      <c r="U4" s="569" t="str">
        <f>'Checking Aids'!U4:AD4</f>
        <v>?</v>
      </c>
      <c r="V4" s="569"/>
      <c r="W4" s="569"/>
      <c r="X4" s="569"/>
      <c r="Y4" s="569"/>
      <c r="Z4" s="569"/>
      <c r="AA4" s="569"/>
      <c r="AB4" s="569"/>
      <c r="AC4" s="569"/>
      <c r="AD4" s="570"/>
    </row>
    <row r="5" spans="1:44" s="32" customFormat="1" ht="13.5" thickBot="1">
      <c r="A5" s="1134" t="str">
        <f>'MAT Test'!A5</f>
        <v>SUPPLIER / VENDOR CODE:</v>
      </c>
      <c r="B5" s="1135"/>
      <c r="C5" s="1135"/>
      <c r="D5" s="1135"/>
      <c r="E5" s="1135"/>
      <c r="F5" s="1135"/>
      <c r="G5" s="1135"/>
      <c r="H5" s="1123" t="str">
        <f>'DIM Test'!I5</f>
        <v>?</v>
      </c>
      <c r="I5" s="1123"/>
      <c r="J5" s="1123"/>
      <c r="K5" s="1123"/>
      <c r="L5" s="1123"/>
      <c r="M5" s="1123"/>
      <c r="N5" s="1123"/>
      <c r="O5" s="1123"/>
      <c r="P5" s="1124"/>
      <c r="Q5" s="1076" t="str">
        <f>'MAT Test'!R5</f>
        <v>PART NAME:</v>
      </c>
      <c r="R5" s="1077"/>
      <c r="S5" s="1077"/>
      <c r="T5" s="1077"/>
      <c r="U5" s="1077"/>
      <c r="V5" s="536" t="str">
        <f>'Checking Aids'!V5:AD5</f>
        <v>?</v>
      </c>
      <c r="W5" s="536"/>
      <c r="X5" s="536"/>
      <c r="Y5" s="536"/>
      <c r="Z5" s="536"/>
      <c r="AA5" s="536"/>
      <c r="AB5" s="536"/>
      <c r="AC5" s="536"/>
      <c r="AD5" s="537"/>
    </row>
    <row r="6" spans="1:44" s="32" customFormat="1">
      <c r="A6" s="273"/>
      <c r="B6" s="106"/>
      <c r="C6" s="106"/>
      <c r="D6" s="106"/>
      <c r="E6" s="106"/>
      <c r="F6" s="107"/>
      <c r="G6" s="107"/>
      <c r="H6" s="1099"/>
      <c r="I6" s="1099"/>
      <c r="J6" s="1099"/>
      <c r="K6" s="1099"/>
      <c r="L6" s="1099"/>
      <c r="M6" s="1099"/>
      <c r="N6" s="1099"/>
      <c r="O6" s="1099"/>
      <c r="P6" s="1100"/>
      <c r="Q6" s="1076" t="str">
        <f>'MAT Test'!R6</f>
        <v>DESIGN RECORD CHANGE LEVEL:</v>
      </c>
      <c r="R6" s="1077"/>
      <c r="S6" s="1077"/>
      <c r="T6" s="1077"/>
      <c r="U6" s="1077"/>
      <c r="V6" s="1077"/>
      <c r="W6" s="1077"/>
      <c r="X6" s="1077"/>
      <c r="Y6" s="1077"/>
      <c r="Z6" s="1077"/>
      <c r="AA6" s="1077"/>
      <c r="AB6" s="1077"/>
      <c r="AC6" s="1077"/>
      <c r="AD6" s="1078"/>
    </row>
    <row r="7" spans="1:44" s="32" customFormat="1">
      <c r="A7" s="108"/>
      <c r="B7" s="109"/>
      <c r="C7" s="109"/>
      <c r="D7" s="109"/>
      <c r="E7" s="109"/>
      <c r="F7" s="109"/>
      <c r="G7" s="109"/>
      <c r="H7" s="110"/>
      <c r="I7" s="110"/>
      <c r="J7" s="110"/>
      <c r="K7" s="110"/>
      <c r="L7" s="110"/>
      <c r="M7" s="1020"/>
      <c r="N7" s="1020"/>
      <c r="O7" s="1020"/>
      <c r="P7" s="1021"/>
      <c r="Q7" s="565" t="str">
        <f>'Checking Aids'!Q7:AD7</f>
        <v>?</v>
      </c>
      <c r="R7" s="599"/>
      <c r="S7" s="599"/>
      <c r="T7" s="599"/>
      <c r="U7" s="599"/>
      <c r="V7" s="599"/>
      <c r="W7" s="599"/>
      <c r="X7" s="599"/>
      <c r="Y7" s="599"/>
      <c r="Z7" s="599"/>
      <c r="AA7" s="599"/>
      <c r="AB7" s="599"/>
      <c r="AC7" s="599"/>
      <c r="AD7" s="600"/>
    </row>
    <row r="8" spans="1:44" s="32" customFormat="1" ht="13.5" customHeight="1">
      <c r="A8" s="1095"/>
      <c r="B8" s="1096"/>
      <c r="C8" s="1096"/>
      <c r="D8" s="1096"/>
      <c r="E8" s="1096"/>
      <c r="F8" s="1096"/>
      <c r="G8" s="1096"/>
      <c r="H8" s="1096"/>
      <c r="I8" s="1096"/>
      <c r="J8" s="1096"/>
      <c r="K8" s="1096"/>
      <c r="L8" s="1096"/>
      <c r="M8" s="1096"/>
      <c r="N8" s="1096"/>
      <c r="O8" s="1096"/>
      <c r="P8" s="1097"/>
      <c r="Q8" s="1076" t="str">
        <f>'MAT Test'!R8</f>
        <v>ENGINEERING CHANGE DOCUMENTS:</v>
      </c>
      <c r="R8" s="1077"/>
      <c r="S8" s="1077"/>
      <c r="T8" s="1077"/>
      <c r="U8" s="1077"/>
      <c r="V8" s="1077"/>
      <c r="W8" s="1077"/>
      <c r="X8" s="1077"/>
      <c r="Y8" s="1077"/>
      <c r="Z8" s="1077"/>
      <c r="AA8" s="1077"/>
      <c r="AB8" s="1077"/>
      <c r="AC8" s="1077"/>
      <c r="AD8" s="1078"/>
    </row>
    <row r="9" spans="1:44" s="32" customFormat="1">
      <c r="A9" s="1095"/>
      <c r="B9" s="1096"/>
      <c r="C9" s="1096"/>
      <c r="D9" s="1096"/>
      <c r="E9" s="1096"/>
      <c r="F9" s="1096"/>
      <c r="G9" s="1096"/>
      <c r="H9" s="1096"/>
      <c r="I9" s="1096"/>
      <c r="J9" s="1096"/>
      <c r="K9" s="1096"/>
      <c r="L9" s="1096"/>
      <c r="M9" s="1096"/>
      <c r="N9" s="1096"/>
      <c r="O9" s="1096"/>
      <c r="P9" s="1097"/>
      <c r="Q9" s="565" t="str">
        <f>'Checking Aids'!Q9:AD9</f>
        <v>?</v>
      </c>
      <c r="R9" s="599"/>
      <c r="S9" s="599"/>
      <c r="T9" s="599"/>
      <c r="U9" s="599"/>
      <c r="V9" s="599"/>
      <c r="W9" s="599"/>
      <c r="X9" s="599"/>
      <c r="Y9" s="599"/>
      <c r="Z9" s="599"/>
      <c r="AA9" s="599"/>
      <c r="AB9" s="599"/>
      <c r="AC9" s="599"/>
      <c r="AD9" s="600"/>
    </row>
    <row r="10" spans="1:44" s="32" customFormat="1" ht="3.75" customHeight="1" thickBot="1">
      <c r="A10" s="370"/>
      <c r="B10" s="371"/>
      <c r="C10" s="371"/>
      <c r="D10" s="371"/>
      <c r="E10" s="371"/>
      <c r="F10" s="371"/>
      <c r="G10" s="371"/>
      <c r="H10" s="371"/>
      <c r="I10" s="371"/>
      <c r="J10" s="371"/>
      <c r="K10" s="371"/>
      <c r="L10" s="371"/>
      <c r="M10" s="371"/>
      <c r="N10" s="371"/>
      <c r="O10" s="371"/>
      <c r="P10" s="372"/>
      <c r="Q10" s="408"/>
      <c r="R10" s="408"/>
      <c r="S10" s="408"/>
      <c r="T10" s="408"/>
      <c r="U10" s="408"/>
      <c r="V10" s="408"/>
      <c r="W10" s="408"/>
      <c r="X10" s="408"/>
      <c r="Y10" s="408"/>
      <c r="Z10" s="408"/>
      <c r="AA10" s="408"/>
      <c r="AB10" s="408"/>
      <c r="AC10" s="408"/>
      <c r="AD10" s="409"/>
    </row>
    <row r="11" spans="1:44" ht="12.75" customHeight="1">
      <c r="A11" s="1136" t="str">
        <f>VLOOKUP("copypackagingproposal",Translations!$A:$T,MATCH(PSW!AO7,Translations!A1:P1,0),0)</f>
        <v>Please include a detailled description of the packaging agreed with MANN+HUMMEL incl. pictures (packing unit, inner protection, palette, quantities per packing unit/palette, identification label).</v>
      </c>
      <c r="B11" s="1137"/>
      <c r="C11" s="1137"/>
      <c r="D11" s="1137"/>
      <c r="E11" s="1137"/>
      <c r="F11" s="1137"/>
      <c r="G11" s="1137"/>
      <c r="H11" s="1137"/>
      <c r="I11" s="1137"/>
      <c r="J11" s="1137"/>
      <c r="K11" s="1137"/>
      <c r="L11" s="1137"/>
      <c r="M11" s="1137"/>
      <c r="N11" s="1137"/>
      <c r="O11" s="1137"/>
      <c r="P11" s="1137"/>
      <c r="Q11" s="1137"/>
      <c r="R11" s="1137"/>
      <c r="S11" s="1137"/>
      <c r="T11" s="1137"/>
      <c r="U11" s="1137"/>
      <c r="V11" s="1137"/>
      <c r="W11" s="1137"/>
      <c r="X11" s="1137"/>
      <c r="Y11" s="1137"/>
      <c r="Z11" s="1137"/>
      <c r="AA11" s="1137"/>
      <c r="AB11" s="1137"/>
      <c r="AC11" s="1137"/>
      <c r="AD11" s="1138"/>
      <c r="AE11" s="269"/>
      <c r="AF11" s="269"/>
      <c r="AG11" s="269"/>
      <c r="AH11" s="269"/>
      <c r="AI11" s="269"/>
      <c r="AJ11" s="269"/>
      <c r="AK11" s="269"/>
      <c r="AL11" s="269"/>
      <c r="AM11" s="269"/>
      <c r="AN11" s="269"/>
      <c r="AO11" s="269"/>
      <c r="AP11" s="269"/>
    </row>
    <row r="12" spans="1:44" ht="22.5" customHeight="1">
      <c r="A12" s="1139"/>
      <c r="B12" s="1140"/>
      <c r="C12" s="1140"/>
      <c r="D12" s="1140"/>
      <c r="E12" s="1140"/>
      <c r="F12" s="1140"/>
      <c r="G12" s="1140"/>
      <c r="H12" s="1140"/>
      <c r="I12" s="1140"/>
      <c r="J12" s="1140"/>
      <c r="K12" s="1140"/>
      <c r="L12" s="1140"/>
      <c r="M12" s="1140"/>
      <c r="N12" s="1140"/>
      <c r="O12" s="1140"/>
      <c r="P12" s="1140"/>
      <c r="Q12" s="1140"/>
      <c r="R12" s="1140"/>
      <c r="S12" s="1140"/>
      <c r="T12" s="1140"/>
      <c r="U12" s="1140"/>
      <c r="V12" s="1140"/>
      <c r="W12" s="1140"/>
      <c r="X12" s="1140"/>
      <c r="Y12" s="1140"/>
      <c r="Z12" s="1140"/>
      <c r="AA12" s="1140"/>
      <c r="AB12" s="1140"/>
      <c r="AC12" s="1140"/>
      <c r="AD12" s="1141"/>
      <c r="AE12" s="269"/>
      <c r="AF12" s="270"/>
      <c r="AG12" s="271"/>
      <c r="AH12" s="269"/>
      <c r="AI12" s="271"/>
      <c r="AJ12" s="272"/>
      <c r="AK12" s="271"/>
      <c r="AL12" s="271"/>
      <c r="AM12" s="269"/>
      <c r="AN12" s="269"/>
      <c r="AO12" s="269"/>
      <c r="AP12" s="269"/>
    </row>
    <row r="13" spans="1:44" ht="12.75" customHeight="1">
      <c r="A13" s="736"/>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889"/>
      <c r="AE13" s="269"/>
      <c r="AF13" s="270"/>
      <c r="AG13" s="271"/>
      <c r="AH13" s="269"/>
      <c r="AI13" s="269"/>
      <c r="AJ13" s="269"/>
      <c r="AK13" s="271"/>
      <c r="AL13" s="269"/>
      <c r="AM13" s="269"/>
      <c r="AN13" s="269"/>
      <c r="AO13" s="269"/>
      <c r="AP13" s="269"/>
      <c r="AQ13" s="269"/>
      <c r="AR13" s="269"/>
    </row>
    <row r="14" spans="1:44" ht="12.75" customHeight="1">
      <c r="A14" s="736"/>
      <c r="B14" s="73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889"/>
      <c r="AE14" s="269"/>
      <c r="AF14" s="269"/>
      <c r="AG14" s="269"/>
      <c r="AH14" s="269"/>
      <c r="AI14" s="269"/>
      <c r="AJ14" s="269"/>
      <c r="AK14" s="271"/>
      <c r="AL14" s="269"/>
      <c r="AM14" s="269"/>
      <c r="AN14" s="269"/>
      <c r="AO14" s="269"/>
      <c r="AP14" s="269"/>
      <c r="AQ14" s="269"/>
      <c r="AR14" s="269"/>
    </row>
    <row r="15" spans="1:44" ht="12.75" customHeight="1">
      <c r="A15" s="736"/>
      <c r="B15" s="73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889"/>
      <c r="AE15" s="269"/>
      <c r="AF15" s="269"/>
      <c r="AG15" s="269"/>
      <c r="AH15" s="269"/>
      <c r="AI15" s="269"/>
      <c r="AJ15" s="269"/>
      <c r="AK15" s="269"/>
      <c r="AL15" s="269"/>
      <c r="AM15" s="269"/>
      <c r="AN15" s="269"/>
      <c r="AO15" s="269"/>
      <c r="AP15" s="269"/>
      <c r="AQ15" s="269"/>
      <c r="AR15" s="269"/>
    </row>
    <row r="16" spans="1:44" ht="12.75" customHeight="1">
      <c r="A16" s="736"/>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889"/>
      <c r="AE16" s="269"/>
      <c r="AF16" s="269"/>
      <c r="AG16" s="269"/>
      <c r="AH16" s="269"/>
      <c r="AI16" s="269"/>
      <c r="AJ16" s="269"/>
      <c r="AK16" s="269"/>
      <c r="AL16" s="269"/>
      <c r="AM16" s="269"/>
      <c r="AN16" s="269"/>
      <c r="AO16" s="269"/>
      <c r="AP16" s="269"/>
      <c r="AQ16" s="269"/>
      <c r="AR16" s="269"/>
    </row>
    <row r="17" spans="1:44" ht="12.75" customHeight="1">
      <c r="A17" s="736"/>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889"/>
      <c r="AE17" s="269"/>
      <c r="AF17" s="269"/>
      <c r="AG17" s="269"/>
      <c r="AH17" s="269"/>
      <c r="AI17" s="269"/>
      <c r="AJ17" s="269"/>
      <c r="AK17" s="269"/>
      <c r="AL17" s="269"/>
      <c r="AM17" s="269"/>
      <c r="AN17" s="269"/>
      <c r="AO17" s="269"/>
      <c r="AP17" s="269"/>
      <c r="AQ17" s="269"/>
      <c r="AR17" s="269"/>
    </row>
    <row r="18" spans="1:44" ht="12.75" customHeight="1">
      <c r="A18" s="736"/>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889"/>
      <c r="AE18" s="269"/>
      <c r="AF18" s="269"/>
      <c r="AG18" s="269"/>
      <c r="AH18" s="269"/>
      <c r="AI18" s="269"/>
      <c r="AJ18" s="269"/>
      <c r="AK18" s="269"/>
      <c r="AL18" s="269"/>
      <c r="AM18" s="269"/>
      <c r="AN18" s="269"/>
      <c r="AO18" s="269"/>
      <c r="AP18" s="269"/>
      <c r="AQ18" s="269"/>
      <c r="AR18" s="269"/>
    </row>
    <row r="19" spans="1:44" ht="12.75" customHeight="1">
      <c r="A19" s="736"/>
      <c r="B19" s="737"/>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889"/>
      <c r="AE19" s="269"/>
      <c r="AF19" s="269"/>
      <c r="AG19" s="269"/>
      <c r="AH19" s="269"/>
      <c r="AI19" s="269"/>
      <c r="AJ19" s="269"/>
      <c r="AK19" s="269"/>
      <c r="AL19" s="269"/>
      <c r="AM19" s="269"/>
      <c r="AN19" s="269"/>
      <c r="AO19" s="269"/>
      <c r="AP19" s="269"/>
      <c r="AQ19" s="269"/>
      <c r="AR19" s="269"/>
    </row>
    <row r="20" spans="1:44" ht="12.75" customHeight="1">
      <c r="A20" s="736"/>
      <c r="B20" s="737"/>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889"/>
      <c r="AE20" s="269"/>
      <c r="AF20" s="269"/>
      <c r="AG20" s="269"/>
      <c r="AH20" s="269"/>
      <c r="AI20" s="269"/>
      <c r="AJ20" s="269"/>
      <c r="AK20" s="269"/>
      <c r="AL20" s="269"/>
      <c r="AM20" s="269"/>
      <c r="AN20" s="269"/>
      <c r="AO20" s="269"/>
      <c r="AP20" s="269"/>
      <c r="AQ20" s="269"/>
      <c r="AR20" s="269"/>
    </row>
    <row r="21" spans="1:44" ht="12.75" customHeight="1">
      <c r="A21" s="736"/>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889"/>
      <c r="AE21" s="269"/>
      <c r="AF21" s="269"/>
      <c r="AG21" s="269"/>
      <c r="AH21" s="269"/>
      <c r="AI21" s="269"/>
      <c r="AJ21" s="269"/>
      <c r="AK21" s="269"/>
      <c r="AL21" s="269"/>
      <c r="AM21" s="269"/>
      <c r="AN21" s="269"/>
      <c r="AO21" s="269"/>
      <c r="AP21" s="269"/>
      <c r="AQ21" s="269"/>
      <c r="AR21" s="269"/>
    </row>
    <row r="22" spans="1:44" ht="12.75" customHeight="1">
      <c r="A22" s="736"/>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889"/>
      <c r="AE22" s="269"/>
      <c r="AF22" s="269"/>
      <c r="AG22" s="269"/>
      <c r="AH22" s="269"/>
      <c r="AI22" s="269"/>
      <c r="AJ22" s="269"/>
      <c r="AK22" s="269"/>
      <c r="AL22" s="269"/>
      <c r="AM22" s="269"/>
      <c r="AN22" s="269"/>
      <c r="AO22" s="269"/>
      <c r="AP22" s="269"/>
      <c r="AQ22" s="269"/>
      <c r="AR22" s="269"/>
    </row>
    <row r="23" spans="1:44" ht="12.75" customHeight="1">
      <c r="A23" s="736"/>
      <c r="B23" s="737"/>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889"/>
      <c r="AE23" s="269"/>
      <c r="AF23" s="269"/>
      <c r="AG23" s="269"/>
      <c r="AH23" s="269"/>
      <c r="AI23" s="269"/>
      <c r="AJ23" s="269"/>
      <c r="AK23" s="269"/>
      <c r="AL23" s="269"/>
      <c r="AM23" s="269"/>
      <c r="AN23" s="269"/>
      <c r="AO23" s="269"/>
      <c r="AP23" s="269"/>
      <c r="AQ23" s="269"/>
      <c r="AR23" s="269"/>
    </row>
    <row r="24" spans="1:44" ht="12.75" customHeight="1">
      <c r="A24" s="736"/>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889"/>
      <c r="AE24" s="269"/>
      <c r="AF24" s="269"/>
      <c r="AG24" s="269"/>
      <c r="AH24" s="269"/>
      <c r="AI24" s="269"/>
      <c r="AJ24" s="269"/>
      <c r="AK24" s="269"/>
      <c r="AL24" s="269"/>
      <c r="AM24" s="269"/>
      <c r="AN24" s="269"/>
      <c r="AO24" s="269"/>
      <c r="AP24" s="269"/>
      <c r="AQ24" s="269"/>
      <c r="AR24" s="269"/>
    </row>
    <row r="25" spans="1:44" ht="12.75" customHeight="1">
      <c r="A25" s="736"/>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889"/>
      <c r="AE25" s="269"/>
      <c r="AF25" s="269"/>
      <c r="AG25" s="269"/>
      <c r="AH25" s="269"/>
      <c r="AI25" s="269"/>
      <c r="AJ25" s="269"/>
      <c r="AK25" s="269"/>
      <c r="AL25" s="269"/>
      <c r="AM25" s="269"/>
      <c r="AN25" s="269"/>
      <c r="AO25" s="269"/>
      <c r="AP25" s="269"/>
      <c r="AQ25" s="269"/>
      <c r="AR25" s="269"/>
    </row>
    <row r="26" spans="1:44" ht="12.75" customHeight="1">
      <c r="A26" s="736"/>
      <c r="B26" s="737"/>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889"/>
      <c r="AE26" s="269"/>
      <c r="AF26" s="269"/>
      <c r="AG26" s="269"/>
      <c r="AH26" s="269"/>
      <c r="AI26" s="269"/>
      <c r="AJ26" s="269"/>
      <c r="AK26" s="269"/>
      <c r="AL26" s="269"/>
      <c r="AM26" s="269"/>
      <c r="AN26" s="269"/>
      <c r="AO26" s="269"/>
      <c r="AP26" s="269"/>
      <c r="AQ26" s="269"/>
      <c r="AR26" s="269"/>
    </row>
    <row r="27" spans="1:44" ht="12.75" customHeight="1">
      <c r="A27" s="736"/>
      <c r="B27" s="737"/>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889"/>
      <c r="AE27" s="269"/>
      <c r="AF27" s="269"/>
      <c r="AG27" s="269"/>
      <c r="AH27" s="269"/>
      <c r="AI27" s="269"/>
      <c r="AJ27" s="269"/>
      <c r="AK27" s="269"/>
      <c r="AL27" s="269"/>
      <c r="AM27" s="269"/>
      <c r="AN27" s="269"/>
      <c r="AO27" s="269"/>
      <c r="AP27" s="269"/>
      <c r="AQ27" s="269"/>
      <c r="AR27" s="269"/>
    </row>
    <row r="28" spans="1:44" ht="12.75" customHeight="1">
      <c r="A28" s="736"/>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889"/>
      <c r="AE28" s="269"/>
      <c r="AF28" s="269"/>
      <c r="AG28" s="269"/>
      <c r="AH28" s="269"/>
      <c r="AI28" s="269"/>
      <c r="AJ28" s="269"/>
      <c r="AK28" s="269"/>
      <c r="AL28" s="269"/>
      <c r="AM28" s="269"/>
      <c r="AN28" s="269"/>
      <c r="AO28" s="269"/>
      <c r="AP28" s="269"/>
      <c r="AQ28" s="269"/>
      <c r="AR28" s="269"/>
    </row>
    <row r="29" spans="1:44" ht="12.75" customHeight="1">
      <c r="A29" s="736"/>
      <c r="B29" s="737"/>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889"/>
      <c r="AE29" s="269"/>
      <c r="AF29" s="269"/>
      <c r="AG29" s="269"/>
      <c r="AH29" s="269"/>
      <c r="AI29" s="269"/>
      <c r="AJ29" s="269"/>
      <c r="AK29" s="269"/>
      <c r="AL29" s="269"/>
      <c r="AM29" s="269"/>
      <c r="AN29" s="269"/>
      <c r="AO29" s="269"/>
      <c r="AP29" s="269"/>
      <c r="AQ29" s="269"/>
      <c r="AR29" s="269"/>
    </row>
    <row r="30" spans="1:44" ht="12.75" customHeight="1">
      <c r="A30" s="736"/>
      <c r="B30" s="737"/>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889"/>
      <c r="AE30" s="269"/>
      <c r="AF30" s="269"/>
      <c r="AG30" s="269"/>
      <c r="AH30" s="269"/>
      <c r="AI30" s="269"/>
      <c r="AJ30" s="269"/>
      <c r="AK30" s="269"/>
      <c r="AL30" s="269"/>
      <c r="AM30" s="269"/>
      <c r="AN30" s="269"/>
      <c r="AO30" s="269"/>
      <c r="AP30" s="269"/>
      <c r="AQ30" s="269"/>
      <c r="AR30" s="269"/>
    </row>
    <row r="31" spans="1:44" ht="12.75" customHeight="1">
      <c r="A31" s="736"/>
      <c r="B31" s="737"/>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889"/>
      <c r="AE31" s="269"/>
      <c r="AF31" s="269"/>
      <c r="AG31" s="269"/>
      <c r="AH31" s="269"/>
      <c r="AI31" s="269"/>
      <c r="AJ31" s="269"/>
      <c r="AK31" s="269"/>
      <c r="AL31" s="269"/>
      <c r="AM31" s="269"/>
      <c r="AN31" s="269"/>
      <c r="AO31" s="269"/>
      <c r="AP31" s="269"/>
      <c r="AQ31" s="269"/>
      <c r="AR31" s="269"/>
    </row>
    <row r="32" spans="1:44" ht="12.75" customHeight="1">
      <c r="A32" s="736"/>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889"/>
      <c r="AE32" s="269"/>
      <c r="AF32" s="269"/>
      <c r="AG32" s="269"/>
      <c r="AH32" s="269"/>
      <c r="AI32" s="269"/>
      <c r="AJ32" s="269"/>
      <c r="AK32" s="269"/>
      <c r="AL32" s="269"/>
      <c r="AM32" s="269"/>
      <c r="AN32" s="269"/>
      <c r="AO32" s="269"/>
      <c r="AP32" s="269"/>
      <c r="AQ32" s="269"/>
      <c r="AR32" s="269"/>
    </row>
    <row r="33" spans="1:44" ht="12.75" customHeight="1">
      <c r="A33" s="736"/>
      <c r="B33" s="737"/>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889"/>
      <c r="AE33" s="269"/>
      <c r="AF33" s="269"/>
      <c r="AG33" s="269"/>
      <c r="AH33" s="269"/>
      <c r="AI33" s="269"/>
      <c r="AJ33" s="269"/>
      <c r="AK33" s="269"/>
      <c r="AL33" s="269"/>
      <c r="AM33" s="269"/>
      <c r="AN33" s="269"/>
      <c r="AO33" s="269"/>
      <c r="AP33" s="269"/>
      <c r="AQ33" s="269"/>
      <c r="AR33" s="269"/>
    </row>
    <row r="34" spans="1:44" ht="12.75" customHeight="1">
      <c r="A34" s="736"/>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889"/>
      <c r="AE34" s="269"/>
      <c r="AF34" s="269"/>
      <c r="AG34" s="269"/>
      <c r="AH34" s="269"/>
      <c r="AI34" s="269"/>
      <c r="AJ34" s="269"/>
      <c r="AK34" s="269"/>
      <c r="AL34" s="269"/>
      <c r="AM34" s="269"/>
      <c r="AN34" s="269"/>
      <c r="AO34" s="269"/>
      <c r="AP34" s="269"/>
      <c r="AQ34" s="269"/>
      <c r="AR34" s="269"/>
    </row>
    <row r="35" spans="1:44" ht="12.75" customHeight="1">
      <c r="A35" s="736"/>
      <c r="B35" s="737"/>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889"/>
      <c r="AE35" s="269"/>
      <c r="AF35" s="269"/>
      <c r="AG35" s="269"/>
      <c r="AH35" s="269"/>
      <c r="AI35" s="269"/>
      <c r="AJ35" s="269"/>
      <c r="AK35" s="269"/>
      <c r="AL35" s="269"/>
      <c r="AM35" s="269"/>
      <c r="AN35" s="269"/>
      <c r="AO35" s="269"/>
      <c r="AP35" s="269"/>
      <c r="AQ35" s="269"/>
      <c r="AR35" s="269"/>
    </row>
    <row r="36" spans="1:44" ht="12.75" customHeight="1">
      <c r="A36" s="736"/>
      <c r="B36" s="737"/>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889"/>
      <c r="AE36" s="269"/>
      <c r="AF36" s="269"/>
      <c r="AG36" s="269"/>
      <c r="AH36" s="269"/>
      <c r="AI36" s="269"/>
      <c r="AJ36" s="269"/>
      <c r="AK36" s="269"/>
      <c r="AL36" s="269"/>
      <c r="AM36" s="269"/>
      <c r="AN36" s="269"/>
      <c r="AO36" s="269"/>
      <c r="AP36" s="269"/>
      <c r="AQ36" s="269"/>
      <c r="AR36" s="269"/>
    </row>
    <row r="37" spans="1:44" ht="12.75" customHeight="1">
      <c r="A37" s="736"/>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889"/>
      <c r="AE37" s="269"/>
      <c r="AF37" s="269"/>
      <c r="AG37" s="269"/>
      <c r="AH37" s="269"/>
      <c r="AI37" s="269"/>
      <c r="AJ37" s="269"/>
      <c r="AK37" s="269"/>
      <c r="AL37" s="269"/>
      <c r="AM37" s="269"/>
      <c r="AN37" s="269"/>
      <c r="AO37" s="269"/>
      <c r="AP37" s="269"/>
      <c r="AQ37" s="269"/>
      <c r="AR37" s="269"/>
    </row>
    <row r="38" spans="1:44" ht="12.75" customHeight="1">
      <c r="A38" s="736"/>
      <c r="B38" s="737"/>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889"/>
      <c r="AE38" s="269"/>
      <c r="AF38" s="269"/>
      <c r="AG38" s="269"/>
      <c r="AH38" s="269"/>
      <c r="AI38" s="269"/>
      <c r="AJ38" s="269"/>
      <c r="AK38" s="269"/>
      <c r="AL38" s="269"/>
      <c r="AM38" s="269"/>
      <c r="AN38" s="269"/>
      <c r="AO38" s="269"/>
      <c r="AP38" s="269"/>
      <c r="AQ38" s="269"/>
      <c r="AR38" s="269"/>
    </row>
    <row r="39" spans="1:44" ht="12.75" customHeight="1">
      <c r="A39" s="736"/>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889"/>
      <c r="AE39" s="269"/>
      <c r="AF39" s="269"/>
      <c r="AG39" s="269"/>
      <c r="AH39" s="269"/>
      <c r="AI39" s="269"/>
      <c r="AJ39" s="269"/>
      <c r="AK39" s="269"/>
      <c r="AL39" s="269"/>
      <c r="AM39" s="269"/>
      <c r="AN39" s="269"/>
      <c r="AO39" s="269"/>
      <c r="AP39" s="269"/>
      <c r="AQ39" s="269"/>
      <c r="AR39" s="269"/>
    </row>
    <row r="40" spans="1:44" ht="12.75" customHeight="1">
      <c r="A40" s="736"/>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889"/>
      <c r="AE40" s="269"/>
      <c r="AF40" s="269"/>
      <c r="AG40" s="269"/>
      <c r="AH40" s="269"/>
      <c r="AI40" s="269"/>
      <c r="AJ40" s="269"/>
      <c r="AK40" s="269"/>
      <c r="AL40" s="269"/>
      <c r="AM40" s="269"/>
      <c r="AN40" s="269"/>
      <c r="AO40" s="269"/>
      <c r="AP40" s="269"/>
      <c r="AQ40" s="269"/>
      <c r="AR40" s="269"/>
    </row>
    <row r="41" spans="1:44" ht="12.75" customHeight="1">
      <c r="A41" s="736"/>
      <c r="B41" s="73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889"/>
      <c r="AE41" s="269"/>
      <c r="AF41" s="269"/>
      <c r="AG41" s="269"/>
      <c r="AH41" s="269"/>
      <c r="AI41" s="269"/>
      <c r="AJ41" s="269"/>
      <c r="AK41" s="269"/>
      <c r="AL41" s="269"/>
      <c r="AM41" s="269"/>
      <c r="AN41" s="269"/>
      <c r="AO41" s="269"/>
      <c r="AP41" s="269"/>
      <c r="AQ41" s="269"/>
      <c r="AR41" s="269"/>
    </row>
    <row r="42" spans="1:44" ht="12.75" customHeight="1">
      <c r="A42" s="736"/>
      <c r="B42" s="737"/>
      <c r="C42" s="737"/>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c r="AD42" s="889"/>
      <c r="AE42" s="269"/>
      <c r="AF42" s="269"/>
      <c r="AG42" s="269"/>
      <c r="AH42" s="269"/>
      <c r="AI42" s="269"/>
      <c r="AJ42" s="269"/>
      <c r="AK42" s="269"/>
      <c r="AL42" s="269"/>
      <c r="AM42" s="269"/>
      <c r="AN42" s="269"/>
      <c r="AO42" s="269"/>
      <c r="AP42" s="269"/>
      <c r="AQ42" s="269"/>
      <c r="AR42" s="269"/>
    </row>
    <row r="43" spans="1:44" ht="12.75" customHeight="1">
      <c r="A43" s="736"/>
      <c r="B43" s="737"/>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889"/>
      <c r="AE43" s="269"/>
      <c r="AF43" s="269"/>
      <c r="AG43" s="269"/>
      <c r="AH43" s="269"/>
      <c r="AI43" s="269"/>
      <c r="AJ43" s="269"/>
      <c r="AK43" s="269"/>
      <c r="AL43" s="269"/>
      <c r="AM43" s="269"/>
      <c r="AN43" s="269"/>
      <c r="AO43" s="269"/>
      <c r="AP43" s="269"/>
      <c r="AQ43" s="269"/>
      <c r="AR43" s="269"/>
    </row>
    <row r="44" spans="1:44" ht="12.75" customHeight="1">
      <c r="A44" s="736"/>
      <c r="B44" s="737"/>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889"/>
      <c r="AE44" s="269"/>
      <c r="AF44" s="269"/>
      <c r="AG44" s="269"/>
      <c r="AH44" s="269"/>
      <c r="AI44" s="269"/>
      <c r="AJ44" s="269"/>
      <c r="AK44" s="269"/>
      <c r="AL44" s="269"/>
      <c r="AM44" s="269"/>
      <c r="AN44" s="269"/>
      <c r="AO44" s="269"/>
      <c r="AP44" s="269"/>
      <c r="AQ44" s="269"/>
      <c r="AR44" s="269"/>
    </row>
    <row r="45" spans="1:44" ht="12.75" customHeight="1">
      <c r="A45" s="736"/>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889"/>
      <c r="AE45" s="269"/>
      <c r="AF45" s="269"/>
      <c r="AG45" s="269"/>
      <c r="AH45" s="269"/>
      <c r="AI45" s="269"/>
      <c r="AJ45" s="269"/>
      <c r="AK45" s="269"/>
      <c r="AL45" s="269"/>
      <c r="AM45" s="269"/>
      <c r="AN45" s="269"/>
      <c r="AO45" s="269"/>
      <c r="AP45" s="269"/>
      <c r="AQ45" s="269"/>
      <c r="AR45" s="269"/>
    </row>
    <row r="46" spans="1:44" ht="12.75" customHeight="1">
      <c r="A46" s="736"/>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889"/>
      <c r="AE46" s="269"/>
      <c r="AF46" s="269"/>
      <c r="AG46" s="269"/>
      <c r="AH46" s="269"/>
      <c r="AI46" s="269"/>
      <c r="AJ46" s="269"/>
      <c r="AK46" s="269"/>
      <c r="AL46" s="269"/>
      <c r="AM46" s="269"/>
      <c r="AN46" s="269"/>
      <c r="AO46" s="269"/>
      <c r="AP46" s="269"/>
      <c r="AQ46" s="269"/>
      <c r="AR46" s="269"/>
    </row>
    <row r="47" spans="1:44" ht="12.75" customHeight="1">
      <c r="A47" s="736"/>
      <c r="B47" s="737"/>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889"/>
      <c r="AE47" s="269"/>
      <c r="AF47" s="269"/>
      <c r="AG47" s="269"/>
      <c r="AH47" s="269"/>
      <c r="AI47" s="269"/>
      <c r="AJ47" s="269"/>
      <c r="AK47" s="269"/>
      <c r="AL47" s="269"/>
      <c r="AM47" s="269"/>
      <c r="AN47" s="269"/>
      <c r="AO47" s="269"/>
      <c r="AP47" s="269"/>
      <c r="AQ47" s="269"/>
      <c r="AR47" s="269"/>
    </row>
    <row r="48" spans="1:44" ht="12.75" customHeight="1">
      <c r="A48" s="736"/>
      <c r="B48" s="737"/>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889"/>
      <c r="AE48" s="269"/>
      <c r="AF48" s="269"/>
      <c r="AG48" s="269"/>
      <c r="AH48" s="269"/>
      <c r="AI48" s="269"/>
      <c r="AJ48" s="269"/>
      <c r="AK48" s="269"/>
      <c r="AL48" s="269"/>
      <c r="AM48" s="269"/>
      <c r="AN48" s="269"/>
      <c r="AO48" s="269"/>
      <c r="AP48" s="269"/>
      <c r="AQ48" s="269"/>
      <c r="AR48" s="269"/>
    </row>
    <row r="49" spans="1:44" ht="12.75" customHeight="1">
      <c r="A49" s="736"/>
      <c r="B49" s="737"/>
      <c r="C49" s="737"/>
      <c r="D49" s="737"/>
      <c r="E49" s="737"/>
      <c r="F49" s="737"/>
      <c r="G49" s="737"/>
      <c r="H49" s="737"/>
      <c r="I49" s="737"/>
      <c r="J49" s="737"/>
      <c r="K49" s="737"/>
      <c r="L49" s="737"/>
      <c r="M49" s="737"/>
      <c r="N49" s="737"/>
      <c r="O49" s="737"/>
      <c r="P49" s="737"/>
      <c r="Q49" s="737"/>
      <c r="R49" s="737"/>
      <c r="S49" s="737"/>
      <c r="T49" s="737"/>
      <c r="U49" s="737"/>
      <c r="V49" s="737"/>
      <c r="W49" s="737"/>
      <c r="X49" s="737"/>
      <c r="Y49" s="737"/>
      <c r="Z49" s="737"/>
      <c r="AA49" s="737"/>
      <c r="AB49" s="737"/>
      <c r="AC49" s="737"/>
      <c r="AD49" s="889"/>
      <c r="AE49" s="269"/>
      <c r="AF49" s="269"/>
      <c r="AG49" s="269"/>
      <c r="AH49" s="269"/>
      <c r="AI49" s="269"/>
      <c r="AJ49" s="269"/>
      <c r="AK49" s="269"/>
      <c r="AL49" s="269"/>
      <c r="AM49" s="269"/>
      <c r="AN49" s="269"/>
      <c r="AO49" s="269"/>
      <c r="AP49" s="269"/>
      <c r="AQ49" s="269"/>
      <c r="AR49" s="269"/>
    </row>
    <row r="50" spans="1:44" ht="12.75" customHeight="1">
      <c r="A50" s="736"/>
      <c r="B50" s="737"/>
      <c r="C50" s="737"/>
      <c r="D50" s="737"/>
      <c r="E50" s="737"/>
      <c r="F50" s="737"/>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889"/>
      <c r="AE50" s="269"/>
      <c r="AF50" s="269"/>
      <c r="AG50" s="269"/>
      <c r="AH50" s="269"/>
      <c r="AI50" s="269"/>
      <c r="AJ50" s="269"/>
      <c r="AK50" s="269"/>
      <c r="AL50" s="269"/>
      <c r="AM50" s="269"/>
      <c r="AN50" s="269"/>
      <c r="AO50" s="269"/>
      <c r="AP50" s="269"/>
      <c r="AQ50" s="269"/>
      <c r="AR50" s="269"/>
    </row>
    <row r="51" spans="1:44" ht="12.75" customHeight="1">
      <c r="A51" s="736"/>
      <c r="B51" s="737"/>
      <c r="C51" s="737"/>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889"/>
      <c r="AE51" s="269"/>
      <c r="AF51" s="269"/>
      <c r="AG51" s="269"/>
      <c r="AH51" s="269"/>
      <c r="AI51" s="269"/>
      <c r="AJ51" s="269"/>
      <c r="AK51" s="269"/>
      <c r="AL51" s="269"/>
      <c r="AM51" s="269"/>
      <c r="AN51" s="269"/>
      <c r="AO51" s="269"/>
      <c r="AP51" s="269"/>
      <c r="AQ51" s="269"/>
      <c r="AR51" s="269"/>
    </row>
    <row r="52" spans="1:44" ht="12.75" customHeight="1">
      <c r="A52" s="736"/>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889"/>
      <c r="AE52" s="269"/>
      <c r="AF52" s="269"/>
      <c r="AG52" s="269"/>
      <c r="AH52" s="269"/>
      <c r="AI52" s="269"/>
      <c r="AJ52" s="269"/>
      <c r="AK52" s="269"/>
      <c r="AL52" s="269"/>
      <c r="AM52" s="269"/>
      <c r="AN52" s="269"/>
      <c r="AO52" s="269"/>
      <c r="AP52" s="269"/>
      <c r="AQ52" s="269"/>
      <c r="AR52" s="269"/>
    </row>
    <row r="53" spans="1:44" ht="12.75" customHeight="1">
      <c r="A53" s="736"/>
      <c r="B53" s="737"/>
      <c r="C53" s="737"/>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737"/>
      <c r="AB53" s="737"/>
      <c r="AC53" s="737"/>
      <c r="AD53" s="889"/>
      <c r="AE53" s="269"/>
      <c r="AF53" s="269"/>
      <c r="AG53" s="269"/>
      <c r="AH53" s="269"/>
      <c r="AI53" s="269"/>
      <c r="AJ53" s="269"/>
      <c r="AK53" s="269"/>
      <c r="AL53" s="269"/>
      <c r="AM53" s="269"/>
      <c r="AN53" s="269"/>
      <c r="AO53" s="269"/>
      <c r="AP53" s="269"/>
      <c r="AQ53" s="269"/>
      <c r="AR53" s="269"/>
    </row>
    <row r="54" spans="1:44" ht="12.75" customHeight="1">
      <c r="A54" s="736"/>
      <c r="B54" s="737"/>
      <c r="C54" s="737"/>
      <c r="D54" s="737"/>
      <c r="E54" s="737"/>
      <c r="F54" s="737"/>
      <c r="G54" s="737"/>
      <c r="H54" s="737"/>
      <c r="I54" s="737"/>
      <c r="J54" s="737"/>
      <c r="K54" s="737"/>
      <c r="L54" s="737"/>
      <c r="M54" s="737"/>
      <c r="N54" s="737"/>
      <c r="O54" s="737"/>
      <c r="P54" s="737"/>
      <c r="Q54" s="737"/>
      <c r="R54" s="737"/>
      <c r="S54" s="737"/>
      <c r="T54" s="737"/>
      <c r="U54" s="737"/>
      <c r="V54" s="737"/>
      <c r="W54" s="737"/>
      <c r="X54" s="737"/>
      <c r="Y54" s="737"/>
      <c r="Z54" s="737"/>
      <c r="AA54" s="737"/>
      <c r="AB54" s="737"/>
      <c r="AC54" s="737"/>
      <c r="AD54" s="889"/>
      <c r="AE54" s="269"/>
      <c r="AF54" s="269"/>
      <c r="AG54" s="269"/>
      <c r="AH54" s="269"/>
      <c r="AI54" s="269"/>
      <c r="AJ54" s="269"/>
      <c r="AK54" s="269"/>
      <c r="AL54" s="269"/>
      <c r="AM54" s="269"/>
      <c r="AN54" s="269"/>
      <c r="AO54" s="269"/>
      <c r="AP54" s="269"/>
      <c r="AQ54" s="269"/>
      <c r="AR54" s="269"/>
    </row>
    <row r="55" spans="1:44" ht="12.75" customHeight="1">
      <c r="A55" s="736"/>
      <c r="B55" s="737"/>
      <c r="C55" s="737"/>
      <c r="D55" s="737"/>
      <c r="E55" s="737"/>
      <c r="F55" s="737"/>
      <c r="G55" s="737"/>
      <c r="H55" s="737"/>
      <c r="I55" s="737"/>
      <c r="J55" s="737"/>
      <c r="K55" s="737"/>
      <c r="L55" s="737"/>
      <c r="M55" s="737"/>
      <c r="N55" s="737"/>
      <c r="O55" s="737"/>
      <c r="P55" s="737"/>
      <c r="Q55" s="737"/>
      <c r="R55" s="737"/>
      <c r="S55" s="737"/>
      <c r="T55" s="737"/>
      <c r="U55" s="737"/>
      <c r="V55" s="737"/>
      <c r="W55" s="737"/>
      <c r="X55" s="737"/>
      <c r="Y55" s="737"/>
      <c r="Z55" s="737"/>
      <c r="AA55" s="737"/>
      <c r="AB55" s="737"/>
      <c r="AC55" s="737"/>
      <c r="AD55" s="889"/>
      <c r="AE55" s="269"/>
      <c r="AF55" s="269"/>
      <c r="AG55" s="269"/>
      <c r="AH55" s="269"/>
      <c r="AI55" s="269"/>
      <c r="AJ55" s="269"/>
      <c r="AK55" s="269"/>
      <c r="AL55" s="269"/>
      <c r="AM55" s="269"/>
      <c r="AN55" s="269"/>
      <c r="AO55" s="269"/>
      <c r="AP55" s="269"/>
      <c r="AQ55" s="269"/>
      <c r="AR55" s="269"/>
    </row>
    <row r="56" spans="1:44" ht="12.75" customHeight="1">
      <c r="A56" s="736"/>
      <c r="B56" s="737"/>
      <c r="C56" s="737"/>
      <c r="D56" s="737"/>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889"/>
      <c r="AE56" s="269"/>
      <c r="AF56" s="269"/>
      <c r="AG56" s="269"/>
      <c r="AH56" s="269"/>
      <c r="AI56" s="269"/>
      <c r="AJ56" s="269"/>
      <c r="AK56" s="269"/>
      <c r="AL56" s="269"/>
      <c r="AM56" s="269"/>
      <c r="AN56" s="269"/>
      <c r="AO56" s="269"/>
      <c r="AP56" s="269"/>
      <c r="AQ56" s="269"/>
      <c r="AR56" s="269"/>
    </row>
    <row r="57" spans="1:44">
      <c r="A57" s="736"/>
      <c r="B57" s="737"/>
      <c r="C57" s="737"/>
      <c r="D57" s="737"/>
      <c r="E57" s="737"/>
      <c r="F57" s="737"/>
      <c r="G57" s="737"/>
      <c r="H57" s="737"/>
      <c r="I57" s="737"/>
      <c r="J57" s="737"/>
      <c r="K57" s="737"/>
      <c r="L57" s="737"/>
      <c r="M57" s="737"/>
      <c r="N57" s="737"/>
      <c r="O57" s="737"/>
      <c r="P57" s="737"/>
      <c r="Q57" s="737"/>
      <c r="R57" s="737"/>
      <c r="S57" s="737"/>
      <c r="T57" s="737"/>
      <c r="U57" s="737"/>
      <c r="V57" s="737"/>
      <c r="W57" s="737"/>
      <c r="X57" s="737"/>
      <c r="Y57" s="737"/>
      <c r="Z57" s="737"/>
      <c r="AA57" s="737"/>
      <c r="AB57" s="737"/>
      <c r="AC57" s="737"/>
      <c r="AD57" s="889"/>
      <c r="AE57" s="269"/>
      <c r="AF57" s="269"/>
      <c r="AG57" s="269"/>
      <c r="AH57" s="269"/>
      <c r="AI57" s="269"/>
      <c r="AJ57" s="269"/>
      <c r="AK57" s="269"/>
      <c r="AL57" s="269"/>
      <c r="AM57" s="269"/>
      <c r="AN57" s="269"/>
      <c r="AO57" s="269"/>
      <c r="AP57" s="269"/>
      <c r="AQ57" s="269"/>
      <c r="AR57" s="269"/>
    </row>
    <row r="58" spans="1:44">
      <c r="A58" s="736"/>
      <c r="B58" s="737"/>
      <c r="C58" s="737"/>
      <c r="D58" s="737"/>
      <c r="E58" s="737"/>
      <c r="F58" s="737"/>
      <c r="G58" s="737"/>
      <c r="H58" s="737"/>
      <c r="I58" s="737"/>
      <c r="J58" s="737"/>
      <c r="K58" s="737"/>
      <c r="L58" s="737"/>
      <c r="M58" s="737"/>
      <c r="N58" s="737"/>
      <c r="O58" s="737"/>
      <c r="P58" s="737"/>
      <c r="Q58" s="737"/>
      <c r="R58" s="737"/>
      <c r="S58" s="737"/>
      <c r="T58" s="737"/>
      <c r="U58" s="737"/>
      <c r="V58" s="737"/>
      <c r="W58" s="737"/>
      <c r="X58" s="737"/>
      <c r="Y58" s="737"/>
      <c r="Z58" s="737"/>
      <c r="AA58" s="737"/>
      <c r="AB58" s="737"/>
      <c r="AC58" s="737"/>
      <c r="AD58" s="889"/>
      <c r="AE58" s="269"/>
      <c r="AF58" s="269"/>
      <c r="AG58" s="269"/>
      <c r="AH58" s="269"/>
      <c r="AI58" s="269"/>
      <c r="AJ58" s="269"/>
      <c r="AK58" s="269"/>
      <c r="AL58" s="269"/>
      <c r="AM58" s="269"/>
      <c r="AN58" s="269"/>
      <c r="AO58" s="269"/>
      <c r="AP58" s="269"/>
      <c r="AQ58" s="269"/>
      <c r="AR58" s="269"/>
    </row>
    <row r="59" spans="1:44">
      <c r="A59" s="736"/>
      <c r="B59" s="737"/>
      <c r="C59" s="737"/>
      <c r="D59" s="737"/>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889"/>
      <c r="AE59" s="269"/>
      <c r="AF59" s="269"/>
      <c r="AG59" s="269"/>
      <c r="AH59" s="269"/>
      <c r="AI59" s="269"/>
      <c r="AJ59" s="269"/>
      <c r="AK59" s="269"/>
      <c r="AL59" s="269"/>
      <c r="AM59" s="269"/>
      <c r="AN59" s="269"/>
      <c r="AO59" s="269"/>
      <c r="AP59" s="269"/>
      <c r="AQ59" s="269"/>
      <c r="AR59" s="269"/>
    </row>
    <row r="60" spans="1:44">
      <c r="A60" s="736"/>
      <c r="B60" s="737"/>
      <c r="C60" s="737"/>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889"/>
      <c r="AE60" s="269"/>
      <c r="AF60" s="269"/>
      <c r="AG60" s="269"/>
      <c r="AH60" s="269"/>
      <c r="AI60" s="269"/>
      <c r="AJ60" s="269"/>
      <c r="AK60" s="269"/>
      <c r="AL60" s="269"/>
      <c r="AM60" s="269"/>
      <c r="AN60" s="269"/>
      <c r="AO60" s="269"/>
      <c r="AP60" s="269"/>
      <c r="AQ60" s="269"/>
      <c r="AR60" s="269"/>
    </row>
    <row r="61" spans="1:44">
      <c r="A61" s="736"/>
      <c r="B61" s="737"/>
      <c r="C61" s="737"/>
      <c r="D61" s="737"/>
      <c r="E61" s="737"/>
      <c r="F61" s="737"/>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889"/>
      <c r="AE61" s="269"/>
      <c r="AF61" s="269"/>
      <c r="AG61" s="269"/>
      <c r="AH61" s="269"/>
      <c r="AI61" s="269"/>
      <c r="AJ61" s="269"/>
      <c r="AK61" s="269"/>
      <c r="AL61" s="269"/>
      <c r="AM61" s="269"/>
      <c r="AN61" s="269"/>
      <c r="AO61" s="269"/>
      <c r="AP61" s="269"/>
      <c r="AQ61" s="269"/>
      <c r="AR61" s="269"/>
    </row>
    <row r="62" spans="1:44">
      <c r="A62" s="736"/>
      <c r="B62" s="737"/>
      <c r="C62" s="737"/>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889"/>
      <c r="AE62" s="269"/>
      <c r="AF62" s="269"/>
      <c r="AG62" s="269"/>
      <c r="AH62" s="269"/>
      <c r="AI62" s="269"/>
      <c r="AJ62" s="269"/>
      <c r="AK62" s="269"/>
      <c r="AL62" s="269"/>
      <c r="AM62" s="269"/>
      <c r="AN62" s="269"/>
      <c r="AO62" s="269"/>
      <c r="AP62" s="269"/>
      <c r="AQ62" s="269"/>
      <c r="AR62" s="269"/>
    </row>
    <row r="63" spans="1:44">
      <c r="A63" s="736"/>
      <c r="B63" s="737"/>
      <c r="C63" s="737"/>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889"/>
      <c r="AE63" s="269"/>
      <c r="AF63" s="269"/>
      <c r="AG63" s="269"/>
      <c r="AH63" s="269"/>
      <c r="AI63" s="269"/>
      <c r="AJ63" s="269"/>
      <c r="AK63" s="269"/>
      <c r="AL63" s="269"/>
      <c r="AM63" s="269"/>
      <c r="AN63" s="269"/>
      <c r="AO63" s="269"/>
      <c r="AP63" s="269"/>
      <c r="AQ63" s="269"/>
      <c r="AR63" s="269"/>
    </row>
    <row r="64" spans="1:44">
      <c r="A64" s="736"/>
      <c r="B64" s="737"/>
      <c r="C64" s="737"/>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889"/>
      <c r="AE64" s="269"/>
      <c r="AF64" s="269"/>
      <c r="AG64" s="269"/>
      <c r="AH64" s="269"/>
      <c r="AI64" s="269"/>
      <c r="AJ64" s="269"/>
      <c r="AK64" s="269"/>
      <c r="AL64" s="269"/>
      <c r="AM64" s="269"/>
      <c r="AN64" s="269"/>
      <c r="AO64" s="269"/>
      <c r="AP64" s="269"/>
      <c r="AQ64" s="269"/>
      <c r="AR64" s="269"/>
    </row>
    <row r="65" spans="1:44">
      <c r="A65" s="736"/>
      <c r="B65" s="737"/>
      <c r="C65" s="737"/>
      <c r="D65" s="737"/>
      <c r="E65" s="737"/>
      <c r="F65" s="737"/>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889"/>
      <c r="AE65" s="269"/>
      <c r="AF65" s="269"/>
      <c r="AG65" s="269"/>
      <c r="AH65" s="269"/>
      <c r="AI65" s="269"/>
      <c r="AJ65" s="269"/>
      <c r="AK65" s="269"/>
      <c r="AL65" s="269"/>
      <c r="AM65" s="269"/>
      <c r="AN65" s="269"/>
      <c r="AO65" s="269"/>
      <c r="AP65" s="269"/>
      <c r="AQ65" s="269"/>
      <c r="AR65" s="269"/>
    </row>
    <row r="66" spans="1:44">
      <c r="A66" s="736"/>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889"/>
      <c r="AE66" s="269"/>
      <c r="AF66" s="269"/>
      <c r="AG66" s="269"/>
      <c r="AH66" s="269"/>
      <c r="AI66" s="269"/>
      <c r="AJ66" s="269"/>
      <c r="AK66" s="269"/>
      <c r="AL66" s="269"/>
      <c r="AM66" s="269"/>
      <c r="AN66" s="269"/>
      <c r="AO66" s="269"/>
      <c r="AP66" s="269"/>
      <c r="AQ66" s="269"/>
      <c r="AR66" s="269"/>
    </row>
    <row r="67" spans="1:44">
      <c r="A67" s="736"/>
      <c r="B67" s="737"/>
      <c r="C67" s="737"/>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889"/>
      <c r="AE67" s="269"/>
      <c r="AF67" s="269"/>
      <c r="AG67" s="269"/>
      <c r="AH67" s="269"/>
      <c r="AI67" s="269"/>
      <c r="AJ67" s="269"/>
      <c r="AK67" s="269"/>
      <c r="AL67" s="269"/>
      <c r="AM67" s="269"/>
      <c r="AN67" s="269"/>
      <c r="AO67" s="269"/>
      <c r="AP67" s="269"/>
      <c r="AQ67" s="269"/>
      <c r="AR67" s="269"/>
    </row>
    <row r="68" spans="1:44">
      <c r="A68" s="736"/>
      <c r="B68" s="737"/>
      <c r="C68" s="737"/>
      <c r="D68" s="737"/>
      <c r="E68" s="737"/>
      <c r="F68" s="737"/>
      <c r="G68" s="737"/>
      <c r="H68" s="737"/>
      <c r="I68" s="737"/>
      <c r="J68" s="737"/>
      <c r="K68" s="737"/>
      <c r="L68" s="737"/>
      <c r="M68" s="737"/>
      <c r="N68" s="737"/>
      <c r="O68" s="737"/>
      <c r="P68" s="737"/>
      <c r="Q68" s="737"/>
      <c r="R68" s="737"/>
      <c r="S68" s="737"/>
      <c r="T68" s="737"/>
      <c r="U68" s="737"/>
      <c r="V68" s="737"/>
      <c r="W68" s="737"/>
      <c r="X68" s="737"/>
      <c r="Y68" s="737"/>
      <c r="Z68" s="737"/>
      <c r="AA68" s="737"/>
      <c r="AB68" s="737"/>
      <c r="AC68" s="737"/>
      <c r="AD68" s="889"/>
      <c r="AE68" s="269"/>
      <c r="AF68" s="269"/>
      <c r="AG68" s="269"/>
      <c r="AH68" s="269"/>
      <c r="AI68" s="269"/>
      <c r="AJ68" s="269"/>
      <c r="AK68" s="269"/>
      <c r="AL68" s="269"/>
      <c r="AM68" s="269"/>
      <c r="AN68" s="269"/>
      <c r="AO68" s="269"/>
      <c r="AP68" s="269"/>
      <c r="AQ68" s="269"/>
      <c r="AR68" s="269"/>
    </row>
    <row r="69" spans="1:44">
      <c r="A69" s="736"/>
      <c r="B69" s="737"/>
      <c r="C69" s="737"/>
      <c r="D69" s="737"/>
      <c r="E69" s="737"/>
      <c r="F69" s="737"/>
      <c r="G69" s="737"/>
      <c r="H69" s="737"/>
      <c r="I69" s="737"/>
      <c r="J69" s="737"/>
      <c r="K69" s="737"/>
      <c r="L69" s="737"/>
      <c r="M69" s="737"/>
      <c r="N69" s="737"/>
      <c r="O69" s="737"/>
      <c r="P69" s="737"/>
      <c r="Q69" s="737"/>
      <c r="R69" s="737"/>
      <c r="S69" s="737"/>
      <c r="T69" s="737"/>
      <c r="U69" s="737"/>
      <c r="V69" s="737"/>
      <c r="W69" s="737"/>
      <c r="X69" s="737"/>
      <c r="Y69" s="737"/>
      <c r="Z69" s="737"/>
      <c r="AA69" s="737"/>
      <c r="AB69" s="737"/>
      <c r="AC69" s="737"/>
      <c r="AD69" s="889"/>
      <c r="AE69" s="269"/>
      <c r="AF69" s="269"/>
      <c r="AG69" s="269"/>
      <c r="AH69" s="269"/>
      <c r="AI69" s="269"/>
      <c r="AJ69" s="269"/>
      <c r="AK69" s="269"/>
      <c r="AL69" s="269"/>
      <c r="AM69" s="269"/>
      <c r="AN69" s="269"/>
      <c r="AO69" s="269"/>
      <c r="AP69" s="269"/>
      <c r="AQ69" s="269"/>
      <c r="AR69" s="269"/>
    </row>
    <row r="70" spans="1:44">
      <c r="A70" s="736"/>
      <c r="B70" s="737"/>
      <c r="C70" s="737"/>
      <c r="D70" s="737"/>
      <c r="E70" s="737"/>
      <c r="F70" s="737"/>
      <c r="G70" s="737"/>
      <c r="H70" s="737"/>
      <c r="I70" s="737"/>
      <c r="J70" s="737"/>
      <c r="K70" s="737"/>
      <c r="L70" s="737"/>
      <c r="M70" s="737"/>
      <c r="N70" s="737"/>
      <c r="O70" s="737"/>
      <c r="P70" s="737"/>
      <c r="Q70" s="737"/>
      <c r="R70" s="737"/>
      <c r="S70" s="737"/>
      <c r="T70" s="737"/>
      <c r="U70" s="737"/>
      <c r="V70" s="737"/>
      <c r="W70" s="737"/>
      <c r="X70" s="737"/>
      <c r="Y70" s="737"/>
      <c r="Z70" s="737"/>
      <c r="AA70" s="737"/>
      <c r="AB70" s="737"/>
      <c r="AC70" s="737"/>
      <c r="AD70" s="889"/>
      <c r="AE70" s="269"/>
      <c r="AF70" s="269"/>
      <c r="AG70" s="269"/>
      <c r="AH70" s="269"/>
      <c r="AI70" s="269"/>
      <c r="AJ70" s="269"/>
      <c r="AK70" s="269"/>
      <c r="AL70" s="269"/>
      <c r="AM70" s="269"/>
      <c r="AN70" s="269"/>
      <c r="AO70" s="269"/>
      <c r="AP70" s="269"/>
      <c r="AQ70" s="269"/>
      <c r="AR70" s="269"/>
    </row>
    <row r="71" spans="1:44">
      <c r="A71" s="736"/>
      <c r="B71" s="737"/>
      <c r="C71" s="737"/>
      <c r="D71" s="737"/>
      <c r="E71" s="737"/>
      <c r="F71" s="737"/>
      <c r="G71" s="737"/>
      <c r="H71" s="737"/>
      <c r="I71" s="737"/>
      <c r="J71" s="737"/>
      <c r="K71" s="737"/>
      <c r="L71" s="737"/>
      <c r="M71" s="737"/>
      <c r="N71" s="737"/>
      <c r="O71" s="737"/>
      <c r="P71" s="737"/>
      <c r="Q71" s="737"/>
      <c r="R71" s="737"/>
      <c r="S71" s="737"/>
      <c r="T71" s="737"/>
      <c r="U71" s="737"/>
      <c r="V71" s="737"/>
      <c r="W71" s="737"/>
      <c r="X71" s="737"/>
      <c r="Y71" s="737"/>
      <c r="Z71" s="737"/>
      <c r="AA71" s="737"/>
      <c r="AB71" s="737"/>
      <c r="AC71" s="737"/>
      <c r="AD71" s="889"/>
      <c r="AE71" s="269"/>
      <c r="AF71" s="269"/>
      <c r="AG71" s="269"/>
      <c r="AH71" s="269"/>
      <c r="AI71" s="269"/>
      <c r="AJ71" s="269"/>
      <c r="AK71" s="269"/>
      <c r="AL71" s="269"/>
      <c r="AM71" s="269"/>
      <c r="AN71" s="269"/>
      <c r="AO71" s="269"/>
      <c r="AP71" s="269"/>
      <c r="AQ71" s="269"/>
      <c r="AR71" s="269"/>
    </row>
    <row r="72" spans="1:44">
      <c r="A72" s="736"/>
      <c r="B72" s="737"/>
      <c r="C72" s="737"/>
      <c r="D72" s="737"/>
      <c r="E72" s="737"/>
      <c r="F72" s="737"/>
      <c r="G72" s="737"/>
      <c r="H72" s="737"/>
      <c r="I72" s="737"/>
      <c r="J72" s="737"/>
      <c r="K72" s="737"/>
      <c r="L72" s="737"/>
      <c r="M72" s="737"/>
      <c r="N72" s="737"/>
      <c r="O72" s="737"/>
      <c r="P72" s="737"/>
      <c r="Q72" s="737"/>
      <c r="R72" s="737"/>
      <c r="S72" s="737"/>
      <c r="T72" s="737"/>
      <c r="U72" s="737"/>
      <c r="V72" s="737"/>
      <c r="W72" s="737"/>
      <c r="X72" s="737"/>
      <c r="Y72" s="737"/>
      <c r="Z72" s="737"/>
      <c r="AA72" s="737"/>
      <c r="AB72" s="737"/>
      <c r="AC72" s="737"/>
      <c r="AD72" s="889"/>
      <c r="AE72" s="269"/>
      <c r="AF72" s="269"/>
      <c r="AG72" s="269"/>
      <c r="AH72" s="269"/>
      <c r="AI72" s="269"/>
      <c r="AJ72" s="269"/>
      <c r="AK72" s="269"/>
      <c r="AL72" s="269"/>
      <c r="AM72" s="269"/>
      <c r="AN72" s="269"/>
      <c r="AO72" s="269"/>
      <c r="AP72" s="269"/>
      <c r="AQ72" s="269"/>
      <c r="AR72" s="269"/>
    </row>
    <row r="73" spans="1:44">
      <c r="A73" s="736"/>
      <c r="B73" s="737"/>
      <c r="C73" s="737"/>
      <c r="D73" s="737"/>
      <c r="E73" s="737"/>
      <c r="F73" s="737"/>
      <c r="G73" s="737"/>
      <c r="H73" s="737"/>
      <c r="I73" s="737"/>
      <c r="J73" s="737"/>
      <c r="K73" s="737"/>
      <c r="L73" s="737"/>
      <c r="M73" s="737"/>
      <c r="N73" s="737"/>
      <c r="O73" s="737"/>
      <c r="P73" s="737"/>
      <c r="Q73" s="737"/>
      <c r="R73" s="737"/>
      <c r="S73" s="737"/>
      <c r="T73" s="737"/>
      <c r="U73" s="737"/>
      <c r="V73" s="737"/>
      <c r="W73" s="737"/>
      <c r="X73" s="737"/>
      <c r="Y73" s="737"/>
      <c r="Z73" s="737"/>
      <c r="AA73" s="737"/>
      <c r="AB73" s="737"/>
      <c r="AC73" s="737"/>
      <c r="AD73" s="889"/>
      <c r="AE73" s="269"/>
      <c r="AF73" s="269"/>
      <c r="AG73" s="269"/>
      <c r="AH73" s="269"/>
      <c r="AI73" s="269"/>
      <c r="AJ73" s="269"/>
      <c r="AK73" s="269"/>
      <c r="AL73" s="269"/>
      <c r="AM73" s="269"/>
      <c r="AN73" s="269"/>
      <c r="AO73" s="269"/>
      <c r="AP73" s="269"/>
      <c r="AQ73" s="269"/>
      <c r="AR73" s="269"/>
    </row>
    <row r="74" spans="1:44">
      <c r="A74" s="736"/>
      <c r="B74" s="737"/>
      <c r="C74" s="737"/>
      <c r="D74" s="737"/>
      <c r="E74" s="737"/>
      <c r="F74" s="737"/>
      <c r="G74" s="737"/>
      <c r="H74" s="737"/>
      <c r="I74" s="737"/>
      <c r="J74" s="737"/>
      <c r="K74" s="737"/>
      <c r="L74" s="737"/>
      <c r="M74" s="737"/>
      <c r="N74" s="737"/>
      <c r="O74" s="737"/>
      <c r="P74" s="737"/>
      <c r="Q74" s="737"/>
      <c r="R74" s="737"/>
      <c r="S74" s="737"/>
      <c r="T74" s="737"/>
      <c r="U74" s="737"/>
      <c r="V74" s="737"/>
      <c r="W74" s="737"/>
      <c r="X74" s="737"/>
      <c r="Y74" s="737"/>
      <c r="Z74" s="737"/>
      <c r="AA74" s="737"/>
      <c r="AB74" s="737"/>
      <c r="AC74" s="737"/>
      <c r="AD74" s="889"/>
      <c r="AE74" s="269"/>
      <c r="AF74" s="269"/>
      <c r="AG74" s="269"/>
      <c r="AH74" s="269"/>
      <c r="AI74" s="269"/>
      <c r="AJ74" s="269"/>
      <c r="AK74" s="269"/>
      <c r="AL74" s="269"/>
      <c r="AM74" s="269"/>
      <c r="AN74" s="269"/>
      <c r="AO74" s="269"/>
      <c r="AP74" s="269"/>
      <c r="AQ74" s="269"/>
      <c r="AR74" s="269"/>
    </row>
    <row r="75" spans="1:44">
      <c r="A75" s="736"/>
      <c r="B75" s="737"/>
      <c r="C75" s="737"/>
      <c r="D75" s="737"/>
      <c r="E75" s="737"/>
      <c r="F75" s="737"/>
      <c r="G75" s="737"/>
      <c r="H75" s="737"/>
      <c r="I75" s="737"/>
      <c r="J75" s="737"/>
      <c r="K75" s="737"/>
      <c r="L75" s="737"/>
      <c r="M75" s="737"/>
      <c r="N75" s="737"/>
      <c r="O75" s="737"/>
      <c r="P75" s="737"/>
      <c r="Q75" s="737"/>
      <c r="R75" s="737"/>
      <c r="S75" s="737"/>
      <c r="T75" s="737"/>
      <c r="U75" s="737"/>
      <c r="V75" s="737"/>
      <c r="W75" s="737"/>
      <c r="X75" s="737"/>
      <c r="Y75" s="737"/>
      <c r="Z75" s="737"/>
      <c r="AA75" s="737"/>
      <c r="AB75" s="737"/>
      <c r="AC75" s="737"/>
      <c r="AD75" s="889"/>
      <c r="AE75" s="269"/>
      <c r="AF75" s="269"/>
      <c r="AG75" s="269"/>
      <c r="AH75" s="269"/>
      <c r="AI75" s="269"/>
      <c r="AJ75" s="269"/>
      <c r="AK75" s="269"/>
      <c r="AL75" s="269"/>
      <c r="AM75" s="269"/>
      <c r="AN75" s="269"/>
      <c r="AO75" s="269"/>
      <c r="AP75" s="269"/>
      <c r="AQ75" s="269"/>
      <c r="AR75" s="269"/>
    </row>
    <row r="76" spans="1:44">
      <c r="A76" s="736"/>
      <c r="B76" s="737"/>
      <c r="C76" s="737"/>
      <c r="D76" s="737"/>
      <c r="E76" s="737"/>
      <c r="F76" s="737"/>
      <c r="G76" s="737"/>
      <c r="H76" s="737"/>
      <c r="I76" s="737"/>
      <c r="J76" s="737"/>
      <c r="K76" s="737"/>
      <c r="L76" s="737"/>
      <c r="M76" s="737"/>
      <c r="N76" s="737"/>
      <c r="O76" s="737"/>
      <c r="P76" s="737"/>
      <c r="Q76" s="737"/>
      <c r="R76" s="737"/>
      <c r="S76" s="737"/>
      <c r="T76" s="737"/>
      <c r="U76" s="737"/>
      <c r="V76" s="737"/>
      <c r="W76" s="737"/>
      <c r="X76" s="737"/>
      <c r="Y76" s="737"/>
      <c r="Z76" s="737"/>
      <c r="AA76" s="737"/>
      <c r="AB76" s="737"/>
      <c r="AC76" s="737"/>
      <c r="AD76" s="889"/>
      <c r="AE76" s="269"/>
      <c r="AF76" s="269"/>
      <c r="AG76" s="269"/>
      <c r="AH76" s="269"/>
      <c r="AI76" s="269"/>
      <c r="AJ76" s="269"/>
      <c r="AK76" s="269"/>
      <c r="AL76" s="269"/>
      <c r="AM76" s="269"/>
      <c r="AN76" s="269"/>
      <c r="AO76" s="269"/>
      <c r="AP76" s="269"/>
      <c r="AQ76" s="269"/>
      <c r="AR76" s="269"/>
    </row>
    <row r="77" spans="1:44">
      <c r="A77" s="736"/>
      <c r="B77" s="737"/>
      <c r="C77" s="737"/>
      <c r="D77" s="737"/>
      <c r="E77" s="737"/>
      <c r="F77" s="737"/>
      <c r="G77" s="737"/>
      <c r="H77" s="737"/>
      <c r="I77" s="737"/>
      <c r="J77" s="737"/>
      <c r="K77" s="737"/>
      <c r="L77" s="737"/>
      <c r="M77" s="737"/>
      <c r="N77" s="737"/>
      <c r="O77" s="737"/>
      <c r="P77" s="737"/>
      <c r="Q77" s="737"/>
      <c r="R77" s="737"/>
      <c r="S77" s="737"/>
      <c r="T77" s="737"/>
      <c r="U77" s="737"/>
      <c r="V77" s="737"/>
      <c r="W77" s="737"/>
      <c r="X77" s="737"/>
      <c r="Y77" s="737"/>
      <c r="Z77" s="737"/>
      <c r="AA77" s="737"/>
      <c r="AB77" s="737"/>
      <c r="AC77" s="737"/>
      <c r="AD77" s="889"/>
      <c r="AE77" s="269"/>
      <c r="AF77" s="269"/>
      <c r="AG77" s="269"/>
      <c r="AH77" s="269"/>
      <c r="AI77" s="269"/>
      <c r="AJ77" s="269"/>
      <c r="AK77" s="269"/>
      <c r="AL77" s="269"/>
      <c r="AM77" s="269"/>
      <c r="AN77" s="269"/>
      <c r="AO77" s="269"/>
      <c r="AP77" s="269"/>
      <c r="AQ77" s="269"/>
      <c r="AR77" s="269"/>
    </row>
    <row r="78" spans="1:44">
      <c r="A78" s="736"/>
      <c r="B78" s="737"/>
      <c r="C78" s="737"/>
      <c r="D78" s="737"/>
      <c r="E78" s="737"/>
      <c r="F78" s="737"/>
      <c r="G78" s="737"/>
      <c r="H78" s="737"/>
      <c r="I78" s="737"/>
      <c r="J78" s="737"/>
      <c r="K78" s="737"/>
      <c r="L78" s="737"/>
      <c r="M78" s="737"/>
      <c r="N78" s="737"/>
      <c r="O78" s="737"/>
      <c r="P78" s="737"/>
      <c r="Q78" s="737"/>
      <c r="R78" s="737"/>
      <c r="S78" s="737"/>
      <c r="T78" s="737"/>
      <c r="U78" s="737"/>
      <c r="V78" s="737"/>
      <c r="W78" s="737"/>
      <c r="X78" s="737"/>
      <c r="Y78" s="737"/>
      <c r="Z78" s="737"/>
      <c r="AA78" s="737"/>
      <c r="AB78" s="737"/>
      <c r="AC78" s="737"/>
      <c r="AD78" s="889"/>
      <c r="AE78" s="269"/>
      <c r="AF78" s="269"/>
      <c r="AG78" s="269"/>
      <c r="AH78" s="269"/>
      <c r="AI78" s="269"/>
      <c r="AJ78" s="269"/>
      <c r="AK78" s="269"/>
      <c r="AL78" s="269"/>
      <c r="AM78" s="269"/>
      <c r="AN78" s="269"/>
      <c r="AO78" s="269"/>
      <c r="AP78" s="269"/>
      <c r="AQ78" s="269"/>
      <c r="AR78" s="269"/>
    </row>
    <row r="79" spans="1:44">
      <c r="A79" s="736"/>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889"/>
      <c r="AE79" s="269"/>
      <c r="AF79" s="269"/>
      <c r="AG79" s="269"/>
      <c r="AH79" s="269"/>
      <c r="AI79" s="269"/>
      <c r="AJ79" s="269"/>
      <c r="AK79" s="269"/>
      <c r="AL79" s="269"/>
      <c r="AM79" s="269"/>
      <c r="AN79" s="269"/>
      <c r="AO79" s="269"/>
      <c r="AP79" s="269"/>
      <c r="AQ79" s="269"/>
      <c r="AR79" s="269"/>
    </row>
    <row r="80" spans="1:44" ht="19.5" customHeight="1">
      <c r="A80" s="736"/>
      <c r="B80" s="737"/>
      <c r="C80" s="737"/>
      <c r="D80" s="737"/>
      <c r="E80" s="737"/>
      <c r="F80" s="737"/>
      <c r="G80" s="737"/>
      <c r="H80" s="737"/>
      <c r="I80" s="737"/>
      <c r="J80" s="737"/>
      <c r="K80" s="737"/>
      <c r="L80" s="737"/>
      <c r="M80" s="737"/>
      <c r="N80" s="737"/>
      <c r="O80" s="737"/>
      <c r="P80" s="737"/>
      <c r="Q80" s="737"/>
      <c r="R80" s="737"/>
      <c r="S80" s="737"/>
      <c r="T80" s="737"/>
      <c r="U80" s="737"/>
      <c r="V80" s="737"/>
      <c r="W80" s="737"/>
      <c r="X80" s="737"/>
      <c r="Y80" s="737"/>
      <c r="Z80" s="737"/>
      <c r="AA80" s="737"/>
      <c r="AB80" s="737"/>
      <c r="AC80" s="737"/>
      <c r="AD80" s="889"/>
      <c r="AE80" s="269"/>
      <c r="AF80" s="269"/>
      <c r="AG80" s="269"/>
      <c r="AH80" s="269"/>
      <c r="AI80" s="269"/>
      <c r="AJ80" s="269"/>
      <c r="AK80" s="269"/>
      <c r="AL80" s="269"/>
      <c r="AM80" s="269"/>
      <c r="AN80" s="269"/>
      <c r="AO80" s="269"/>
      <c r="AP80" s="269"/>
      <c r="AQ80" s="269"/>
      <c r="AR80" s="269"/>
    </row>
    <row r="81" spans="1:44" ht="13.5" thickBot="1">
      <c r="A81" s="739"/>
      <c r="B81" s="740"/>
      <c r="C81" s="740"/>
      <c r="D81" s="740"/>
      <c r="E81" s="740"/>
      <c r="F81" s="740"/>
      <c r="G81" s="740"/>
      <c r="H81" s="740"/>
      <c r="I81" s="740"/>
      <c r="J81" s="740"/>
      <c r="K81" s="740"/>
      <c r="L81" s="740"/>
      <c r="M81" s="740"/>
      <c r="N81" s="740"/>
      <c r="O81" s="740"/>
      <c r="P81" s="740"/>
      <c r="Q81" s="740"/>
      <c r="R81" s="740"/>
      <c r="S81" s="740"/>
      <c r="T81" s="740"/>
      <c r="U81" s="740"/>
      <c r="V81" s="740"/>
      <c r="W81" s="740"/>
      <c r="X81" s="740"/>
      <c r="Y81" s="740"/>
      <c r="Z81" s="740"/>
      <c r="AA81" s="740"/>
      <c r="AB81" s="740"/>
      <c r="AC81" s="740"/>
      <c r="AD81" s="872"/>
      <c r="AE81" s="269"/>
      <c r="AF81" s="269"/>
      <c r="AG81" s="269"/>
      <c r="AH81" s="269"/>
      <c r="AI81" s="269"/>
      <c r="AJ81" s="269"/>
      <c r="AK81" s="269"/>
      <c r="AL81" s="269"/>
      <c r="AM81" s="269"/>
      <c r="AN81" s="269"/>
      <c r="AO81" s="269"/>
      <c r="AP81" s="269"/>
      <c r="AQ81" s="269"/>
      <c r="AR81" s="269"/>
    </row>
    <row r="82" spans="1:44">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row>
    <row r="83" spans="1:44">
      <c r="A83" s="269"/>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row>
    <row r="84" spans="1:44">
      <c r="A84" s="269"/>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row>
    <row r="85" spans="1:44">
      <c r="A85" s="269"/>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row>
    <row r="86" spans="1:44">
      <c r="A86" s="269"/>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row>
    <row r="87" spans="1:44">
      <c r="A87" s="269"/>
      <c r="B87" s="269"/>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row>
    <row r="88" spans="1:44">
      <c r="A88" s="269"/>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row>
    <row r="89" spans="1:44">
      <c r="A89" s="269"/>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row>
    <row r="90" spans="1:44">
      <c r="A90" s="269"/>
      <c r="B90" s="269"/>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row>
    <row r="91" spans="1:44">
      <c r="A91" s="269"/>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row>
    <row r="92" spans="1:44">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row>
    <row r="93" spans="1:44">
      <c r="A93" s="269"/>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row>
    <row r="94" spans="1:44">
      <c r="A94" s="269"/>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row>
    <row r="95" spans="1:44">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row>
    <row r="96" spans="1:44">
      <c r="A96" s="269"/>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row>
    <row r="97" spans="1:44">
      <c r="A97" s="269"/>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row>
    <row r="98" spans="1:44">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row>
    <row r="99" spans="1:44">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row>
    <row r="100" spans="1:44">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row>
    <row r="101" spans="1:44">
      <c r="A101" s="269"/>
      <c r="B101" s="269"/>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row>
    <row r="102" spans="1:44">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row>
    <row r="103" spans="1:44">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row>
    <row r="104" spans="1:44">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row>
    <row r="105" spans="1:44">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row>
    <row r="106" spans="1:44">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row>
    <row r="107" spans="1:44">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row>
    <row r="108" spans="1:44">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row>
    <row r="109" spans="1:44">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row>
    <row r="110" spans="1:44">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row>
    <row r="111" spans="1:44">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row>
    <row r="112" spans="1:44">
      <c r="A112" s="269"/>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row>
    <row r="113" spans="1:44">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row>
    <row r="114" spans="1:44">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row>
    <row r="115" spans="1:44">
      <c r="A115" s="26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row>
    <row r="116" spans="1:44">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row>
    <row r="117" spans="1:44">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row>
    <row r="118" spans="1:44">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row>
    <row r="119" spans="1:44">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row>
    <row r="120" spans="1:44">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row>
    <row r="121" spans="1:44">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row>
    <row r="122" spans="1:44">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row>
    <row r="123" spans="1:44">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row>
    <row r="124" spans="1:44">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row>
    <row r="125" spans="1:44">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row>
    <row r="126" spans="1:44">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row>
    <row r="127" spans="1:44">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row>
    <row r="128" spans="1:44">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row>
    <row r="129" spans="1:44">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row>
    <row r="130" spans="1:44">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row>
    <row r="131" spans="1:44">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row>
    <row r="132" spans="1:44">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row>
    <row r="133" spans="1:44">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row>
    <row r="134" spans="1:44">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row>
    <row r="135" spans="1:44">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row>
    <row r="136" spans="1:44">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row>
    <row r="137" spans="1:44">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row>
    <row r="138" spans="1:44">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row>
    <row r="139" spans="1:44">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row>
    <row r="140" spans="1:44">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row>
    <row r="141" spans="1:44">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row>
    <row r="142" spans="1:44">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row>
    <row r="143" spans="1:44">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row>
    <row r="144" spans="1:44">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row>
    <row r="145" spans="1:44">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row>
    <row r="146" spans="1:44">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row>
    <row r="147" spans="1:44">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row>
    <row r="148" spans="1:44">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row>
    <row r="149" spans="1:44">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row>
    <row r="150" spans="1:44">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row>
    <row r="151" spans="1:44">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row>
    <row r="152" spans="1:44">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row>
    <row r="153" spans="1:44">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row>
    <row r="154" spans="1:44">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row>
    <row r="155" spans="1:44">
      <c r="A155" s="269"/>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row>
    <row r="156" spans="1:44">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row>
    <row r="157" spans="1:44">
      <c r="A157" s="269"/>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row>
    <row r="158" spans="1:44">
      <c r="A158" s="269"/>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row>
    <row r="159" spans="1:44">
      <c r="A159" s="269"/>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row>
    <row r="160" spans="1:44">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row>
    <row r="161" spans="1:44">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row>
    <row r="162" spans="1:44">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row>
    <row r="163" spans="1:44">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row>
    <row r="164" spans="1:44">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row>
    <row r="165" spans="1:44">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row>
    <row r="166" spans="1:44">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row>
    <row r="167" spans="1:44">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row>
    <row r="168" spans="1:44">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row>
    <row r="169" spans="1:44">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row>
    <row r="170" spans="1:44">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row>
    <row r="171" spans="1:44">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row>
    <row r="172" spans="1:44">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row>
    <row r="173" spans="1:44">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row>
    <row r="174" spans="1:44">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row>
    <row r="175" spans="1:44">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row>
    <row r="176" spans="1:44">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row>
    <row r="177" spans="1:44">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row>
    <row r="178" spans="1:44">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row>
    <row r="179" spans="1:44">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row>
    <row r="180" spans="1:44">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row>
    <row r="181" spans="1:44">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69"/>
      <c r="AR181" s="269"/>
    </row>
    <row r="182" spans="1:44">
      <c r="A182" s="269"/>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row>
    <row r="183" spans="1:44">
      <c r="A183" s="269"/>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row>
    <row r="184" spans="1:44">
      <c r="A184" s="269"/>
      <c r="B184" s="269"/>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c r="AR184" s="269"/>
    </row>
    <row r="185" spans="1:44">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c r="AR185" s="269"/>
    </row>
    <row r="186" spans="1:44">
      <c r="A186" s="269"/>
      <c r="B186" s="269"/>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row>
    <row r="187" spans="1:44">
      <c r="A187" s="269"/>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row>
    <row r="188" spans="1:44">
      <c r="A188" s="269"/>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row>
    <row r="189" spans="1:44">
      <c r="A189" s="269"/>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row>
    <row r="190" spans="1:44">
      <c r="A190" s="269"/>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row>
    <row r="191" spans="1:44">
      <c r="A191" s="269"/>
      <c r="B191" s="269"/>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row>
    <row r="192" spans="1:44">
      <c r="A192" s="269"/>
      <c r="B192" s="269"/>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row>
    <row r="193" spans="1:44">
      <c r="A193" s="269"/>
      <c r="B193" s="269"/>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row>
    <row r="194" spans="1:44">
      <c r="A194" s="269"/>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row>
    <row r="195" spans="1:44">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row>
    <row r="196" spans="1:44">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row>
    <row r="197" spans="1:44">
      <c r="A197" s="269"/>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row>
    <row r="198" spans="1:44">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row>
    <row r="199" spans="1:44">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row>
    <row r="200" spans="1:44">
      <c r="A200" s="269"/>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row>
    <row r="201" spans="1:44">
      <c r="A201" s="269"/>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row>
    <row r="202" spans="1:44">
      <c r="A202" s="269"/>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row>
    <row r="203" spans="1:44">
      <c r="A203" s="269"/>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row>
    <row r="204" spans="1:44">
      <c r="A204" s="269"/>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row>
    <row r="205" spans="1:44">
      <c r="A205" s="269"/>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row>
    <row r="206" spans="1:44">
      <c r="A206" s="269"/>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69"/>
      <c r="AR206" s="269"/>
    </row>
    <row r="207" spans="1:44">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69"/>
      <c r="AN207" s="269"/>
      <c r="AO207" s="269"/>
      <c r="AP207" s="269"/>
      <c r="AQ207" s="269"/>
      <c r="AR207" s="269"/>
    </row>
    <row r="208" spans="1:44">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269"/>
      <c r="AK208" s="269"/>
      <c r="AL208" s="269"/>
      <c r="AM208" s="269"/>
      <c r="AN208" s="269"/>
      <c r="AO208" s="269"/>
      <c r="AP208" s="269"/>
      <c r="AQ208" s="269"/>
      <c r="AR208" s="269"/>
    </row>
    <row r="209" spans="1:44">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269"/>
      <c r="AK209" s="269"/>
      <c r="AL209" s="269"/>
      <c r="AM209" s="269"/>
      <c r="AN209" s="269"/>
      <c r="AO209" s="269"/>
      <c r="AP209" s="269"/>
      <c r="AQ209" s="269"/>
      <c r="AR209" s="269"/>
    </row>
    <row r="210" spans="1:44">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c r="AH210" s="269"/>
      <c r="AI210" s="269"/>
      <c r="AJ210" s="269"/>
      <c r="AK210" s="269"/>
      <c r="AL210" s="269"/>
      <c r="AM210" s="269"/>
      <c r="AN210" s="269"/>
      <c r="AO210" s="269"/>
      <c r="AP210" s="269"/>
      <c r="AQ210" s="269"/>
      <c r="AR210" s="269"/>
    </row>
    <row r="211" spans="1:44">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69"/>
      <c r="AO211" s="269"/>
      <c r="AP211" s="269"/>
      <c r="AQ211" s="269"/>
      <c r="AR211" s="269"/>
    </row>
    <row r="212" spans="1:44">
      <c r="A212" s="269"/>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row>
    <row r="213" spans="1:44">
      <c r="A213" s="269"/>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row>
    <row r="214" spans="1:44">
      <c r="A214" s="269"/>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row>
    <row r="215" spans="1:44">
      <c r="A215" s="269"/>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row>
    <row r="216" spans="1:44">
      <c r="A216" s="269"/>
      <c r="B216" s="269"/>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c r="AG216" s="269"/>
      <c r="AH216" s="269"/>
      <c r="AI216" s="269"/>
      <c r="AJ216" s="269"/>
      <c r="AK216" s="269"/>
      <c r="AL216" s="269"/>
      <c r="AM216" s="269"/>
      <c r="AN216" s="269"/>
      <c r="AO216" s="269"/>
      <c r="AP216" s="269"/>
      <c r="AQ216" s="269"/>
      <c r="AR216" s="269"/>
    </row>
    <row r="217" spans="1:44">
      <c r="A217" s="269"/>
      <c r="B217" s="269"/>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9"/>
      <c r="AF217" s="269"/>
      <c r="AG217" s="269"/>
      <c r="AH217" s="269"/>
      <c r="AI217" s="269"/>
      <c r="AJ217" s="269"/>
      <c r="AK217" s="269"/>
      <c r="AL217" s="269"/>
      <c r="AM217" s="269"/>
      <c r="AN217" s="269"/>
      <c r="AO217" s="269"/>
      <c r="AP217" s="269"/>
      <c r="AQ217" s="269"/>
      <c r="AR217" s="269"/>
    </row>
    <row r="218" spans="1:44">
      <c r="A218" s="269"/>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c r="AG218" s="269"/>
      <c r="AH218" s="269"/>
      <c r="AI218" s="269"/>
      <c r="AJ218" s="269"/>
      <c r="AK218" s="269"/>
      <c r="AL218" s="269"/>
      <c r="AM218" s="269"/>
      <c r="AN218" s="269"/>
      <c r="AO218" s="269"/>
      <c r="AP218" s="269"/>
      <c r="AQ218" s="269"/>
      <c r="AR218" s="269"/>
    </row>
    <row r="219" spans="1:44">
      <c r="A219" s="269"/>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row>
    <row r="220" spans="1:44">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row>
    <row r="221" spans="1:44">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row>
    <row r="222" spans="1:44">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row>
    <row r="223" spans="1:44">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row>
    <row r="224" spans="1:44">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row>
    <row r="225" spans="1:44">
      <c r="A225" s="269"/>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row>
    <row r="226" spans="1:44">
      <c r="A226" s="269"/>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69"/>
    </row>
    <row r="227" spans="1:44">
      <c r="A227" s="269"/>
      <c r="B227" s="269"/>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c r="AA227" s="269"/>
      <c r="AB227" s="269"/>
      <c r="AC227" s="269"/>
      <c r="AD227" s="269"/>
      <c r="AE227" s="269"/>
      <c r="AF227" s="269"/>
      <c r="AG227" s="269"/>
      <c r="AH227" s="269"/>
      <c r="AI227" s="269"/>
      <c r="AJ227" s="269"/>
      <c r="AK227" s="269"/>
      <c r="AL227" s="269"/>
      <c r="AM227" s="269"/>
      <c r="AN227" s="269"/>
      <c r="AO227" s="269"/>
      <c r="AP227" s="269"/>
      <c r="AQ227" s="269"/>
      <c r="AR227" s="269"/>
    </row>
    <row r="228" spans="1:44">
      <c r="A228" s="269"/>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row>
    <row r="229" spans="1:44">
      <c r="A229" s="269"/>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row>
    <row r="230" spans="1:44">
      <c r="A230" s="269"/>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row>
    <row r="231" spans="1:44">
      <c r="A231" s="269"/>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69"/>
      <c r="AR231" s="269"/>
    </row>
    <row r="232" spans="1:44">
      <c r="A232" s="269"/>
      <c r="B232" s="269"/>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row>
    <row r="233" spans="1:44">
      <c r="A233" s="269"/>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E233" s="269"/>
      <c r="AF233" s="269"/>
      <c r="AG233" s="269"/>
      <c r="AH233" s="269"/>
      <c r="AI233" s="269"/>
      <c r="AJ233" s="269"/>
      <c r="AK233" s="269"/>
      <c r="AL233" s="269"/>
      <c r="AM233" s="269"/>
      <c r="AN233" s="269"/>
      <c r="AO233" s="269"/>
      <c r="AP233" s="269"/>
      <c r="AQ233" s="269"/>
      <c r="AR233" s="269"/>
    </row>
    <row r="234" spans="1:44">
      <c r="A234" s="269"/>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269"/>
      <c r="AL234" s="269"/>
      <c r="AM234" s="269"/>
      <c r="AN234" s="269"/>
      <c r="AO234" s="269"/>
      <c r="AP234" s="269"/>
      <c r="AQ234" s="269"/>
      <c r="AR234" s="269"/>
    </row>
    <row r="235" spans="1:44">
      <c r="A235" s="269"/>
      <c r="B235" s="269"/>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E235" s="269"/>
      <c r="AF235" s="269"/>
      <c r="AG235" s="269"/>
      <c r="AH235" s="269"/>
      <c r="AI235" s="269"/>
      <c r="AJ235" s="269"/>
      <c r="AK235" s="269"/>
      <c r="AL235" s="269"/>
      <c r="AM235" s="269"/>
      <c r="AN235" s="269"/>
      <c r="AO235" s="269"/>
      <c r="AP235" s="269"/>
      <c r="AQ235" s="269"/>
      <c r="AR235" s="269"/>
    </row>
    <row r="236" spans="1:44">
      <c r="A236" s="269"/>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69"/>
    </row>
    <row r="237" spans="1:44">
      <c r="A237" s="269"/>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c r="AH237" s="269"/>
      <c r="AI237" s="269"/>
      <c r="AJ237" s="269"/>
      <c r="AK237" s="269"/>
      <c r="AL237" s="269"/>
      <c r="AM237" s="269"/>
      <c r="AN237" s="269"/>
      <c r="AO237" s="269"/>
      <c r="AP237" s="269"/>
      <c r="AQ237" s="269"/>
      <c r="AR237" s="269"/>
    </row>
    <row r="238" spans="1:44">
      <c r="A238" s="269"/>
      <c r="B238" s="269"/>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69"/>
      <c r="AD238" s="269"/>
      <c r="AE238" s="269"/>
      <c r="AF238" s="269"/>
      <c r="AG238" s="269"/>
      <c r="AH238" s="269"/>
      <c r="AI238" s="269"/>
      <c r="AJ238" s="269"/>
      <c r="AK238" s="269"/>
      <c r="AL238" s="269"/>
      <c r="AM238" s="269"/>
      <c r="AN238" s="269"/>
      <c r="AO238" s="269"/>
      <c r="AP238" s="269"/>
      <c r="AQ238" s="269"/>
      <c r="AR238" s="269"/>
    </row>
    <row r="239" spans="1:44">
      <c r="A239" s="269"/>
      <c r="B239" s="269"/>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c r="AH239" s="269"/>
      <c r="AI239" s="269"/>
      <c r="AJ239" s="269"/>
      <c r="AK239" s="269"/>
      <c r="AL239" s="269"/>
      <c r="AM239" s="269"/>
      <c r="AN239" s="269"/>
      <c r="AO239" s="269"/>
      <c r="AP239" s="269"/>
      <c r="AQ239" s="269"/>
      <c r="AR239" s="269"/>
    </row>
    <row r="240" spans="1:44">
      <c r="A240" s="269"/>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c r="AA240" s="269"/>
      <c r="AB240" s="269"/>
      <c r="AC240" s="269"/>
      <c r="AD240" s="269"/>
      <c r="AE240" s="269"/>
      <c r="AF240" s="269"/>
      <c r="AG240" s="269"/>
      <c r="AH240" s="269"/>
      <c r="AI240" s="269"/>
      <c r="AJ240" s="269"/>
      <c r="AK240" s="269"/>
      <c r="AL240" s="269"/>
      <c r="AM240" s="269"/>
      <c r="AN240" s="269"/>
      <c r="AO240" s="269"/>
      <c r="AP240" s="269"/>
      <c r="AQ240" s="269"/>
      <c r="AR240" s="269"/>
    </row>
    <row r="241" spans="1:44">
      <c r="A241" s="269"/>
      <c r="B241" s="269"/>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c r="AH241" s="269"/>
      <c r="AI241" s="269"/>
      <c r="AJ241" s="269"/>
      <c r="AK241" s="269"/>
      <c r="AL241" s="269"/>
      <c r="AM241" s="269"/>
      <c r="AN241" s="269"/>
      <c r="AO241" s="269"/>
      <c r="AP241" s="269"/>
      <c r="AQ241" s="269"/>
      <c r="AR241" s="269"/>
    </row>
    <row r="242" spans="1:44">
      <c r="A242" s="269"/>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69"/>
      <c r="AQ242" s="269"/>
      <c r="AR242" s="269"/>
    </row>
    <row r="243" spans="1:44">
      <c r="A243" s="269"/>
      <c r="B243" s="269"/>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69"/>
      <c r="AO243" s="269"/>
      <c r="AP243" s="269"/>
      <c r="AQ243" s="269"/>
      <c r="AR243" s="269"/>
    </row>
    <row r="244" spans="1:44">
      <c r="A244" s="269"/>
      <c r="B244" s="269"/>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69"/>
      <c r="AE244" s="269"/>
      <c r="AF244" s="269"/>
      <c r="AG244" s="269"/>
      <c r="AH244" s="269"/>
      <c r="AI244" s="269"/>
      <c r="AJ244" s="269"/>
      <c r="AK244" s="269"/>
      <c r="AL244" s="269"/>
      <c r="AM244" s="269"/>
      <c r="AN244" s="269"/>
      <c r="AO244" s="269"/>
      <c r="AP244" s="269"/>
      <c r="AQ244" s="269"/>
      <c r="AR244" s="269"/>
    </row>
    <row r="245" spans="1:44">
      <c r="A245" s="269"/>
      <c r="B245" s="269"/>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c r="AA245" s="269"/>
      <c r="AB245" s="269"/>
      <c r="AC245" s="269"/>
      <c r="AD245" s="269"/>
      <c r="AE245" s="269"/>
      <c r="AF245" s="269"/>
      <c r="AG245" s="269"/>
      <c r="AH245" s="269"/>
      <c r="AI245" s="269"/>
      <c r="AJ245" s="269"/>
      <c r="AK245" s="269"/>
      <c r="AL245" s="269"/>
      <c r="AM245" s="269"/>
      <c r="AN245" s="269"/>
      <c r="AO245" s="269"/>
      <c r="AP245" s="269"/>
      <c r="AQ245" s="269"/>
      <c r="AR245" s="269"/>
    </row>
    <row r="246" spans="1:44">
      <c r="A246" s="269"/>
      <c r="B246" s="269"/>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c r="AA246" s="269"/>
      <c r="AB246" s="269"/>
      <c r="AC246" s="269"/>
      <c r="AD246" s="269"/>
      <c r="AE246" s="269"/>
      <c r="AF246" s="269"/>
      <c r="AG246" s="269"/>
      <c r="AH246" s="269"/>
      <c r="AI246" s="269"/>
      <c r="AJ246" s="269"/>
      <c r="AK246" s="269"/>
      <c r="AL246" s="269"/>
      <c r="AM246" s="269"/>
      <c r="AN246" s="269"/>
      <c r="AO246" s="269"/>
      <c r="AP246" s="269"/>
      <c r="AQ246" s="269"/>
      <c r="AR246" s="269"/>
    </row>
    <row r="247" spans="1:44">
      <c r="A247" s="269"/>
      <c r="B247" s="269"/>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69"/>
      <c r="Z247" s="269"/>
      <c r="AA247" s="269"/>
      <c r="AB247" s="269"/>
      <c r="AC247" s="269"/>
      <c r="AD247" s="269"/>
      <c r="AE247" s="269"/>
      <c r="AF247" s="269"/>
      <c r="AG247" s="269"/>
      <c r="AH247" s="269"/>
      <c r="AI247" s="269"/>
      <c r="AJ247" s="269"/>
      <c r="AK247" s="269"/>
      <c r="AL247" s="269"/>
      <c r="AM247" s="269"/>
      <c r="AN247" s="269"/>
      <c r="AO247" s="269"/>
      <c r="AP247" s="269"/>
      <c r="AQ247" s="269"/>
      <c r="AR247" s="269"/>
    </row>
    <row r="248" spans="1:44">
      <c r="A248" s="269"/>
      <c r="B248" s="269"/>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c r="AA248" s="269"/>
      <c r="AB248" s="269"/>
      <c r="AC248" s="269"/>
      <c r="AD248" s="269"/>
      <c r="AE248" s="269"/>
      <c r="AF248" s="269"/>
      <c r="AG248" s="269"/>
      <c r="AH248" s="269"/>
      <c r="AI248" s="269"/>
      <c r="AJ248" s="269"/>
      <c r="AK248" s="269"/>
      <c r="AL248" s="269"/>
      <c r="AM248" s="269"/>
      <c r="AN248" s="269"/>
      <c r="AO248" s="269"/>
      <c r="AP248" s="269"/>
      <c r="AQ248" s="269"/>
      <c r="AR248" s="269"/>
    </row>
    <row r="249" spans="1:44">
      <c r="A249" s="269"/>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row>
    <row r="250" spans="1:44">
      <c r="A250" s="269"/>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row>
    <row r="251" spans="1:44">
      <c r="A251" s="269"/>
      <c r="B251" s="269"/>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row>
    <row r="252" spans="1:44">
      <c r="A252" s="269"/>
      <c r="B252" s="269"/>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c r="AA252" s="269"/>
      <c r="AB252" s="269"/>
      <c r="AC252" s="269"/>
      <c r="AD252" s="269"/>
      <c r="AE252" s="269"/>
      <c r="AF252" s="269"/>
      <c r="AG252" s="269"/>
      <c r="AH252" s="269"/>
      <c r="AI252" s="269"/>
      <c r="AJ252" s="269"/>
      <c r="AK252" s="269"/>
      <c r="AL252" s="269"/>
      <c r="AM252" s="269"/>
      <c r="AN252" s="269"/>
      <c r="AO252" s="269"/>
      <c r="AP252" s="269"/>
      <c r="AQ252" s="269"/>
      <c r="AR252" s="269"/>
    </row>
    <row r="253" spans="1:44">
      <c r="A253" s="269"/>
      <c r="B253" s="269"/>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E253" s="269"/>
      <c r="AF253" s="269"/>
      <c r="AG253" s="269"/>
      <c r="AH253" s="269"/>
      <c r="AI253" s="269"/>
      <c r="AJ253" s="269"/>
      <c r="AK253" s="269"/>
      <c r="AL253" s="269"/>
      <c r="AM253" s="269"/>
      <c r="AN253" s="269"/>
      <c r="AO253" s="269"/>
      <c r="AP253" s="269"/>
      <c r="AQ253" s="269"/>
      <c r="AR253" s="269"/>
    </row>
    <row r="254" spans="1:44">
      <c r="A254" s="269"/>
      <c r="B254" s="269"/>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c r="AA254" s="269"/>
      <c r="AB254" s="269"/>
      <c r="AC254" s="269"/>
      <c r="AD254" s="269"/>
      <c r="AE254" s="269"/>
      <c r="AF254" s="269"/>
      <c r="AG254" s="269"/>
      <c r="AH254" s="269"/>
      <c r="AI254" s="269"/>
      <c r="AJ254" s="269"/>
      <c r="AK254" s="269"/>
      <c r="AL254" s="269"/>
      <c r="AM254" s="269"/>
      <c r="AN254" s="269"/>
      <c r="AO254" s="269"/>
      <c r="AP254" s="269"/>
      <c r="AQ254" s="269"/>
      <c r="AR254" s="269"/>
    </row>
    <row r="255" spans="1:44">
      <c r="A255" s="269"/>
      <c r="B255" s="269"/>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c r="AA255" s="269"/>
      <c r="AB255" s="269"/>
      <c r="AC255" s="269"/>
      <c r="AD255" s="269"/>
      <c r="AE255" s="269"/>
      <c r="AF255" s="269"/>
      <c r="AG255" s="269"/>
      <c r="AH255" s="269"/>
      <c r="AI255" s="269"/>
      <c r="AJ255" s="269"/>
      <c r="AK255" s="269"/>
      <c r="AL255" s="269"/>
      <c r="AM255" s="269"/>
      <c r="AN255" s="269"/>
      <c r="AO255" s="269"/>
      <c r="AP255" s="269"/>
      <c r="AQ255" s="269"/>
      <c r="AR255" s="269"/>
    </row>
    <row r="256" spans="1:44">
      <c r="A256" s="269"/>
      <c r="B256" s="269"/>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c r="AH256" s="269"/>
      <c r="AI256" s="269"/>
      <c r="AJ256" s="269"/>
      <c r="AK256" s="269"/>
      <c r="AL256" s="269"/>
      <c r="AM256" s="269"/>
      <c r="AN256" s="269"/>
      <c r="AO256" s="269"/>
      <c r="AP256" s="269"/>
      <c r="AQ256" s="269"/>
      <c r="AR256" s="269"/>
    </row>
    <row r="257" spans="1:44">
      <c r="A257" s="269"/>
      <c r="B257" s="269"/>
      <c r="C257" s="269"/>
      <c r="D257" s="269"/>
      <c r="E257" s="269"/>
      <c r="F257" s="269"/>
      <c r="G257" s="269"/>
      <c r="H257" s="269"/>
      <c r="I257" s="269"/>
      <c r="J257" s="269"/>
      <c r="K257" s="269"/>
      <c r="L257" s="269"/>
      <c r="M257" s="269"/>
      <c r="N257" s="269"/>
      <c r="O257" s="269"/>
      <c r="P257" s="269"/>
      <c r="Q257" s="269"/>
      <c r="R257" s="269"/>
      <c r="S257" s="269"/>
      <c r="T257" s="269"/>
      <c r="U257" s="269"/>
      <c r="V257" s="269"/>
      <c r="W257" s="269"/>
      <c r="X257" s="269"/>
      <c r="Y257" s="269"/>
      <c r="Z257" s="269"/>
      <c r="AA257" s="269"/>
      <c r="AB257" s="269"/>
      <c r="AC257" s="269"/>
      <c r="AD257" s="269"/>
      <c r="AE257" s="269"/>
      <c r="AF257" s="269"/>
      <c r="AG257" s="269"/>
      <c r="AH257" s="269"/>
      <c r="AI257" s="269"/>
      <c r="AJ257" s="269"/>
      <c r="AK257" s="269"/>
      <c r="AL257" s="269"/>
      <c r="AM257" s="269"/>
      <c r="AN257" s="269"/>
      <c r="AO257" s="269"/>
      <c r="AP257" s="269"/>
      <c r="AQ257" s="269"/>
      <c r="AR257" s="269"/>
    </row>
    <row r="258" spans="1:44">
      <c r="A258" s="269"/>
      <c r="B258" s="269"/>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c r="AA258" s="269"/>
      <c r="AB258" s="269"/>
      <c r="AC258" s="269"/>
      <c r="AD258" s="269"/>
      <c r="AE258" s="269"/>
      <c r="AF258" s="269"/>
      <c r="AG258" s="269"/>
      <c r="AH258" s="269"/>
      <c r="AI258" s="269"/>
      <c r="AJ258" s="269"/>
      <c r="AK258" s="269"/>
      <c r="AL258" s="269"/>
      <c r="AM258" s="269"/>
      <c r="AN258" s="269"/>
      <c r="AO258" s="269"/>
      <c r="AP258" s="269"/>
      <c r="AQ258" s="269"/>
      <c r="AR258" s="269"/>
    </row>
    <row r="259" spans="1:44">
      <c r="A259" s="269"/>
      <c r="B259" s="269"/>
      <c r="C259" s="269"/>
      <c r="D259" s="269"/>
      <c r="E259" s="269"/>
      <c r="F259" s="269"/>
      <c r="G259" s="269"/>
      <c r="H259" s="269"/>
      <c r="I259" s="269"/>
      <c r="J259" s="269"/>
      <c r="K259" s="269"/>
      <c r="L259" s="269"/>
      <c r="M259" s="269"/>
      <c r="N259" s="269"/>
      <c r="O259" s="269"/>
      <c r="P259" s="269"/>
      <c r="Q259" s="269"/>
      <c r="R259" s="269"/>
      <c r="S259" s="269"/>
      <c r="T259" s="269"/>
      <c r="U259" s="269"/>
      <c r="V259" s="269"/>
      <c r="W259" s="269"/>
      <c r="X259" s="269"/>
      <c r="Y259" s="269"/>
      <c r="Z259" s="269"/>
      <c r="AA259" s="269"/>
      <c r="AB259" s="269"/>
      <c r="AC259" s="269"/>
      <c r="AD259" s="269"/>
      <c r="AE259" s="269"/>
      <c r="AF259" s="269"/>
      <c r="AG259" s="269"/>
      <c r="AH259" s="269"/>
      <c r="AI259" s="269"/>
      <c r="AJ259" s="269"/>
      <c r="AK259" s="269"/>
      <c r="AL259" s="269"/>
      <c r="AM259" s="269"/>
      <c r="AN259" s="269"/>
      <c r="AO259" s="269"/>
      <c r="AP259" s="269"/>
      <c r="AQ259" s="269"/>
      <c r="AR259" s="269"/>
    </row>
    <row r="260" spans="1:44">
      <c r="A260" s="269"/>
      <c r="B260" s="269"/>
      <c r="C260" s="269"/>
      <c r="D260" s="269"/>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c r="AA260" s="269"/>
      <c r="AB260" s="269"/>
      <c r="AC260" s="269"/>
      <c r="AD260" s="269"/>
      <c r="AE260" s="269"/>
      <c r="AF260" s="269"/>
      <c r="AG260" s="269"/>
      <c r="AH260" s="269"/>
      <c r="AI260" s="269"/>
      <c r="AJ260" s="269"/>
      <c r="AK260" s="269"/>
      <c r="AL260" s="269"/>
      <c r="AM260" s="269"/>
      <c r="AN260" s="269"/>
      <c r="AO260" s="269"/>
      <c r="AP260" s="269"/>
      <c r="AQ260" s="269"/>
      <c r="AR260" s="269"/>
    </row>
    <row r="261" spans="1:44">
      <c r="A261" s="269"/>
      <c r="B261" s="269"/>
      <c r="C261" s="269"/>
      <c r="D261" s="269"/>
      <c r="E261" s="269"/>
      <c r="F261" s="269"/>
      <c r="G261" s="269"/>
      <c r="H261" s="269"/>
      <c r="I261" s="269"/>
      <c r="J261" s="269"/>
      <c r="K261" s="269"/>
      <c r="L261" s="269"/>
      <c r="M261" s="269"/>
      <c r="N261" s="269"/>
      <c r="O261" s="269"/>
      <c r="P261" s="269"/>
      <c r="Q261" s="269"/>
      <c r="R261" s="269"/>
      <c r="S261" s="269"/>
      <c r="T261" s="269"/>
      <c r="U261" s="269"/>
      <c r="V261" s="269"/>
      <c r="W261" s="269"/>
      <c r="X261" s="269"/>
      <c r="Y261" s="269"/>
      <c r="Z261" s="269"/>
      <c r="AA261" s="269"/>
      <c r="AB261" s="269"/>
      <c r="AC261" s="269"/>
      <c r="AD261" s="269"/>
      <c r="AE261" s="269"/>
      <c r="AF261" s="269"/>
      <c r="AG261" s="269"/>
      <c r="AH261" s="269"/>
      <c r="AI261" s="269"/>
      <c r="AJ261" s="269"/>
      <c r="AK261" s="269"/>
      <c r="AL261" s="269"/>
      <c r="AM261" s="269"/>
      <c r="AN261" s="269"/>
      <c r="AO261" s="269"/>
      <c r="AP261" s="269"/>
      <c r="AQ261" s="269"/>
      <c r="AR261" s="269"/>
    </row>
    <row r="262" spans="1:44">
      <c r="A262" s="269"/>
      <c r="B262" s="269"/>
      <c r="C262" s="269"/>
      <c r="D262" s="269"/>
      <c r="E262" s="269"/>
      <c r="F262" s="269"/>
      <c r="G262" s="269"/>
      <c r="H262" s="269"/>
      <c r="I262" s="269"/>
      <c r="J262" s="269"/>
      <c r="K262" s="269"/>
      <c r="L262" s="269"/>
      <c r="M262" s="269"/>
      <c r="N262" s="269"/>
      <c r="O262" s="269"/>
      <c r="P262" s="269"/>
      <c r="Q262" s="269"/>
      <c r="R262" s="269"/>
      <c r="S262" s="269"/>
      <c r="T262" s="269"/>
      <c r="U262" s="269"/>
      <c r="V262" s="269"/>
      <c r="W262" s="269"/>
      <c r="X262" s="269"/>
      <c r="Y262" s="269"/>
      <c r="Z262" s="269"/>
      <c r="AA262" s="269"/>
      <c r="AB262" s="269"/>
      <c r="AC262" s="269"/>
      <c r="AD262" s="269"/>
      <c r="AE262" s="269"/>
      <c r="AF262" s="269"/>
      <c r="AG262" s="269"/>
      <c r="AH262" s="269"/>
      <c r="AI262" s="269"/>
      <c r="AJ262" s="269"/>
      <c r="AK262" s="269"/>
      <c r="AL262" s="269"/>
      <c r="AM262" s="269"/>
      <c r="AN262" s="269"/>
      <c r="AO262" s="269"/>
      <c r="AP262" s="269"/>
      <c r="AQ262" s="269"/>
      <c r="AR262" s="269"/>
    </row>
    <row r="263" spans="1:44">
      <c r="A263" s="269"/>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c r="Y263" s="269"/>
      <c r="Z263" s="269"/>
      <c r="AA263" s="269"/>
      <c r="AB263" s="269"/>
      <c r="AC263" s="269"/>
      <c r="AD263" s="269"/>
      <c r="AE263" s="269"/>
      <c r="AF263" s="269"/>
      <c r="AG263" s="269"/>
      <c r="AH263" s="269"/>
      <c r="AI263" s="269"/>
      <c r="AJ263" s="269"/>
      <c r="AK263" s="269"/>
      <c r="AL263" s="269"/>
      <c r="AM263" s="269"/>
      <c r="AN263" s="269"/>
      <c r="AO263" s="269"/>
      <c r="AP263" s="269"/>
      <c r="AQ263" s="269"/>
      <c r="AR263" s="269"/>
    </row>
    <row r="264" spans="1:44">
      <c r="A264" s="269"/>
      <c r="B264" s="269"/>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c r="Y264" s="269"/>
      <c r="Z264" s="269"/>
      <c r="AA264" s="269"/>
      <c r="AB264" s="269"/>
      <c r="AC264" s="269"/>
      <c r="AD264" s="269"/>
      <c r="AE264" s="269"/>
      <c r="AF264" s="269"/>
      <c r="AG264" s="269"/>
      <c r="AH264" s="269"/>
      <c r="AI264" s="269"/>
      <c r="AJ264" s="269"/>
      <c r="AK264" s="269"/>
      <c r="AL264" s="269"/>
      <c r="AM264" s="269"/>
      <c r="AN264" s="269"/>
      <c r="AO264" s="269"/>
      <c r="AP264" s="269"/>
      <c r="AQ264" s="269"/>
      <c r="AR264" s="269"/>
    </row>
    <row r="265" spans="1:44">
      <c r="A265" s="269"/>
      <c r="B265" s="269"/>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c r="AA265" s="269"/>
      <c r="AB265" s="269"/>
      <c r="AC265" s="269"/>
      <c r="AD265" s="269"/>
      <c r="AE265" s="269"/>
      <c r="AF265" s="269"/>
      <c r="AG265" s="269"/>
      <c r="AH265" s="269"/>
      <c r="AI265" s="269"/>
      <c r="AJ265" s="269"/>
      <c r="AK265" s="269"/>
      <c r="AL265" s="269"/>
      <c r="AM265" s="269"/>
      <c r="AN265" s="269"/>
      <c r="AO265" s="269"/>
      <c r="AP265" s="269"/>
      <c r="AQ265" s="269"/>
      <c r="AR265" s="269"/>
    </row>
    <row r="266" spans="1:44">
      <c r="A266" s="269"/>
      <c r="B266" s="269"/>
      <c r="C266" s="269"/>
      <c r="D266" s="269"/>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c r="AA266" s="269"/>
      <c r="AB266" s="269"/>
      <c r="AC266" s="269"/>
      <c r="AD266" s="269"/>
      <c r="AE266" s="269"/>
      <c r="AF266" s="269"/>
      <c r="AG266" s="269"/>
      <c r="AH266" s="269"/>
      <c r="AI266" s="269"/>
      <c r="AJ266" s="269"/>
      <c r="AK266" s="269"/>
      <c r="AL266" s="269"/>
      <c r="AM266" s="269"/>
      <c r="AN266" s="269"/>
      <c r="AO266" s="269"/>
      <c r="AP266" s="269"/>
      <c r="AQ266" s="269"/>
      <c r="AR266" s="269"/>
    </row>
    <row r="267" spans="1:44">
      <c r="A267" s="269"/>
      <c r="B267" s="269"/>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c r="AA267" s="269"/>
      <c r="AB267" s="269"/>
      <c r="AC267" s="269"/>
      <c r="AD267" s="269"/>
      <c r="AE267" s="269"/>
      <c r="AF267" s="269"/>
      <c r="AG267" s="269"/>
      <c r="AH267" s="269"/>
      <c r="AI267" s="269"/>
      <c r="AJ267" s="269"/>
      <c r="AK267" s="269"/>
      <c r="AL267" s="269"/>
      <c r="AM267" s="269"/>
      <c r="AN267" s="269"/>
      <c r="AO267" s="269"/>
      <c r="AP267" s="269"/>
      <c r="AQ267" s="269"/>
      <c r="AR267" s="269"/>
    </row>
    <row r="268" spans="1:44">
      <c r="A268" s="269"/>
      <c r="B268" s="269"/>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c r="AA268" s="269"/>
      <c r="AB268" s="269"/>
      <c r="AC268" s="269"/>
      <c r="AD268" s="269"/>
      <c r="AE268" s="269"/>
      <c r="AF268" s="269"/>
      <c r="AG268" s="269"/>
      <c r="AH268" s="269"/>
      <c r="AI268" s="269"/>
      <c r="AJ268" s="269"/>
      <c r="AK268" s="269"/>
      <c r="AL268" s="269"/>
      <c r="AM268" s="269"/>
      <c r="AN268" s="269"/>
      <c r="AO268" s="269"/>
      <c r="AP268" s="269"/>
      <c r="AQ268" s="269"/>
      <c r="AR268" s="269"/>
    </row>
    <row r="269" spans="1:44">
      <c r="A269" s="269"/>
      <c r="B269" s="269"/>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c r="AA269" s="269"/>
      <c r="AB269" s="269"/>
      <c r="AC269" s="269"/>
      <c r="AD269" s="269"/>
      <c r="AE269" s="269"/>
      <c r="AF269" s="269"/>
      <c r="AG269" s="269"/>
      <c r="AH269" s="269"/>
      <c r="AI269" s="269"/>
      <c r="AJ269" s="269"/>
      <c r="AK269" s="269"/>
      <c r="AL269" s="269"/>
      <c r="AM269" s="269"/>
      <c r="AN269" s="269"/>
      <c r="AO269" s="269"/>
      <c r="AP269" s="269"/>
      <c r="AQ269" s="269"/>
      <c r="AR269" s="269"/>
    </row>
    <row r="270" spans="1:44">
      <c r="A270" s="269"/>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c r="AA270" s="269"/>
      <c r="AB270" s="269"/>
      <c r="AC270" s="269"/>
      <c r="AD270" s="269"/>
      <c r="AE270" s="269"/>
      <c r="AF270" s="269"/>
      <c r="AG270" s="269"/>
      <c r="AH270" s="269"/>
      <c r="AI270" s="269"/>
      <c r="AJ270" s="269"/>
      <c r="AK270" s="269"/>
      <c r="AL270" s="269"/>
      <c r="AM270" s="269"/>
      <c r="AN270" s="269"/>
      <c r="AO270" s="269"/>
      <c r="AP270" s="269"/>
      <c r="AQ270" s="269"/>
      <c r="AR270" s="269"/>
    </row>
    <row r="271" spans="1:44">
      <c r="A271" s="269"/>
      <c r="B271" s="269"/>
      <c r="C271" s="269"/>
      <c r="D271" s="269"/>
      <c r="E271" s="269"/>
      <c r="F271" s="269"/>
      <c r="G271" s="269"/>
      <c r="H271" s="269"/>
      <c r="I271" s="269"/>
      <c r="J271" s="269"/>
      <c r="K271" s="269"/>
      <c r="L271" s="269"/>
      <c r="M271" s="269"/>
      <c r="N271" s="269"/>
      <c r="O271" s="269"/>
      <c r="P271" s="269"/>
      <c r="Q271" s="269"/>
      <c r="R271" s="269"/>
      <c r="S271" s="269"/>
      <c r="T271" s="269"/>
      <c r="U271" s="269"/>
      <c r="V271" s="269"/>
      <c r="W271" s="269"/>
      <c r="X271" s="269"/>
      <c r="Y271" s="269"/>
      <c r="Z271" s="269"/>
      <c r="AA271" s="269"/>
      <c r="AB271" s="269"/>
      <c r="AC271" s="269"/>
      <c r="AD271" s="269"/>
      <c r="AE271" s="269"/>
      <c r="AF271" s="269"/>
      <c r="AG271" s="269"/>
      <c r="AH271" s="269"/>
      <c r="AI271" s="269"/>
      <c r="AJ271" s="269"/>
      <c r="AK271" s="269"/>
      <c r="AL271" s="269"/>
      <c r="AM271" s="269"/>
      <c r="AN271" s="269"/>
      <c r="AO271" s="269"/>
      <c r="AP271" s="269"/>
      <c r="AQ271" s="269"/>
      <c r="AR271" s="269"/>
    </row>
    <row r="272" spans="1:44">
      <c r="A272" s="269"/>
      <c r="B272" s="269"/>
      <c r="C272" s="269"/>
      <c r="D272" s="269"/>
      <c r="E272" s="269"/>
      <c r="F272" s="269"/>
      <c r="G272" s="269"/>
      <c r="H272" s="269"/>
      <c r="I272" s="269"/>
      <c r="J272" s="269"/>
      <c r="K272" s="269"/>
      <c r="L272" s="269"/>
      <c r="M272" s="269"/>
      <c r="N272" s="269"/>
      <c r="O272" s="269"/>
      <c r="P272" s="269"/>
      <c r="Q272" s="269"/>
      <c r="R272" s="269"/>
      <c r="S272" s="269"/>
      <c r="T272" s="269"/>
      <c r="U272" s="269"/>
      <c r="V272" s="269"/>
      <c r="W272" s="269"/>
      <c r="X272" s="269"/>
      <c r="Y272" s="269"/>
      <c r="Z272" s="269"/>
      <c r="AA272" s="269"/>
      <c r="AB272" s="269"/>
      <c r="AC272" s="269"/>
      <c r="AD272" s="269"/>
      <c r="AE272" s="269"/>
      <c r="AF272" s="269"/>
      <c r="AG272" s="269"/>
      <c r="AH272" s="269"/>
      <c r="AI272" s="269"/>
      <c r="AJ272" s="269"/>
      <c r="AK272" s="269"/>
      <c r="AL272" s="269"/>
      <c r="AM272" s="269"/>
      <c r="AN272" s="269"/>
      <c r="AO272" s="269"/>
      <c r="AP272" s="269"/>
      <c r="AQ272" s="269"/>
      <c r="AR272" s="269"/>
    </row>
    <row r="273" spans="1:44">
      <c r="A273" s="269"/>
      <c r="B273" s="269"/>
      <c r="C273" s="269"/>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c r="AA273" s="269"/>
      <c r="AB273" s="269"/>
      <c r="AC273" s="269"/>
      <c r="AD273" s="269"/>
      <c r="AE273" s="269"/>
      <c r="AF273" s="269"/>
      <c r="AG273" s="269"/>
      <c r="AH273" s="269"/>
      <c r="AI273" s="269"/>
      <c r="AJ273" s="269"/>
      <c r="AK273" s="269"/>
      <c r="AL273" s="269"/>
      <c r="AM273" s="269"/>
      <c r="AN273" s="269"/>
      <c r="AO273" s="269"/>
      <c r="AP273" s="269"/>
      <c r="AQ273" s="269"/>
      <c r="AR273" s="269"/>
    </row>
    <row r="274" spans="1:44">
      <c r="A274" s="269"/>
      <c r="B274" s="269"/>
      <c r="C274" s="269"/>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c r="AA274" s="269"/>
      <c r="AB274" s="269"/>
      <c r="AC274" s="269"/>
      <c r="AD274" s="269"/>
      <c r="AE274" s="269"/>
      <c r="AF274" s="269"/>
      <c r="AG274" s="269"/>
      <c r="AH274" s="269"/>
      <c r="AI274" s="269"/>
      <c r="AJ274" s="269"/>
      <c r="AK274" s="269"/>
      <c r="AL274" s="269"/>
      <c r="AM274" s="269"/>
      <c r="AN274" s="269"/>
      <c r="AO274" s="269"/>
      <c r="AP274" s="269"/>
      <c r="AQ274" s="269"/>
      <c r="AR274" s="269"/>
    </row>
    <row r="275" spans="1:44">
      <c r="A275" s="269"/>
      <c r="B275" s="269"/>
      <c r="C275" s="269"/>
      <c r="D275" s="269"/>
      <c r="E275" s="269"/>
      <c r="F275" s="269"/>
      <c r="G275" s="269"/>
      <c r="H275" s="269"/>
      <c r="I275" s="269"/>
      <c r="J275" s="269"/>
      <c r="K275" s="269"/>
      <c r="L275" s="269"/>
      <c r="M275" s="269"/>
      <c r="N275" s="269"/>
      <c r="O275" s="269"/>
      <c r="P275" s="269"/>
      <c r="Q275" s="269"/>
      <c r="R275" s="269"/>
      <c r="S275" s="269"/>
      <c r="T275" s="269"/>
      <c r="U275" s="269"/>
      <c r="V275" s="269"/>
      <c r="W275" s="269"/>
      <c r="X275" s="269"/>
      <c r="Y275" s="269"/>
      <c r="Z275" s="269"/>
      <c r="AA275" s="269"/>
      <c r="AB275" s="269"/>
      <c r="AC275" s="269"/>
      <c r="AD275" s="269"/>
      <c r="AE275" s="269"/>
      <c r="AF275" s="269"/>
      <c r="AG275" s="269"/>
      <c r="AH275" s="269"/>
      <c r="AI275" s="269"/>
      <c r="AJ275" s="269"/>
      <c r="AK275" s="269"/>
      <c r="AL275" s="269"/>
      <c r="AM275" s="269"/>
      <c r="AN275" s="269"/>
      <c r="AO275" s="269"/>
      <c r="AP275" s="269"/>
      <c r="AQ275" s="269"/>
      <c r="AR275" s="269"/>
    </row>
    <row r="276" spans="1:44">
      <c r="A276" s="269"/>
      <c r="B276" s="269"/>
      <c r="C276" s="269"/>
      <c r="D276" s="269"/>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c r="AA276" s="269"/>
      <c r="AB276" s="269"/>
      <c r="AC276" s="269"/>
      <c r="AD276" s="269"/>
      <c r="AE276" s="269"/>
      <c r="AF276" s="269"/>
      <c r="AG276" s="269"/>
      <c r="AH276" s="269"/>
      <c r="AI276" s="269"/>
      <c r="AJ276" s="269"/>
      <c r="AK276" s="269"/>
      <c r="AL276" s="269"/>
      <c r="AM276" s="269"/>
      <c r="AN276" s="269"/>
      <c r="AO276" s="269"/>
      <c r="AP276" s="269"/>
      <c r="AQ276" s="269"/>
      <c r="AR276" s="269"/>
    </row>
    <row r="277" spans="1:44">
      <c r="A277" s="269"/>
      <c r="B277" s="269"/>
      <c r="C277" s="269"/>
      <c r="D277" s="269"/>
      <c r="E277" s="269"/>
      <c r="F277" s="269"/>
      <c r="G277" s="269"/>
      <c r="H277" s="269"/>
      <c r="I277" s="269"/>
      <c r="J277" s="269"/>
      <c r="K277" s="269"/>
      <c r="L277" s="269"/>
      <c r="M277" s="269"/>
      <c r="N277" s="269"/>
      <c r="O277" s="269"/>
      <c r="P277" s="269"/>
      <c r="Q277" s="269"/>
      <c r="R277" s="269"/>
      <c r="S277" s="269"/>
      <c r="T277" s="269"/>
      <c r="U277" s="269"/>
      <c r="V277" s="269"/>
      <c r="W277" s="269"/>
      <c r="X277" s="269"/>
      <c r="Y277" s="269"/>
      <c r="Z277" s="269"/>
      <c r="AA277" s="269"/>
      <c r="AB277" s="269"/>
      <c r="AC277" s="269"/>
      <c r="AD277" s="269"/>
      <c r="AE277" s="269"/>
      <c r="AF277" s="269"/>
      <c r="AG277" s="269"/>
      <c r="AH277" s="269"/>
      <c r="AI277" s="269"/>
      <c r="AJ277" s="269"/>
      <c r="AK277" s="269"/>
      <c r="AL277" s="269"/>
      <c r="AM277" s="269"/>
      <c r="AN277" s="269"/>
      <c r="AO277" s="269"/>
      <c r="AP277" s="269"/>
      <c r="AQ277" s="269"/>
      <c r="AR277" s="269"/>
    </row>
    <row r="278" spans="1:44">
      <c r="A278" s="269"/>
      <c r="B278" s="269"/>
      <c r="C278" s="269"/>
      <c r="D278" s="269"/>
      <c r="E278" s="269"/>
      <c r="F278" s="269"/>
      <c r="G278" s="269"/>
      <c r="H278" s="269"/>
      <c r="I278" s="269"/>
      <c r="J278" s="269"/>
      <c r="K278" s="269"/>
      <c r="L278" s="269"/>
      <c r="M278" s="269"/>
      <c r="N278" s="269"/>
      <c r="O278" s="269"/>
      <c r="P278" s="269"/>
      <c r="Q278" s="269"/>
      <c r="R278" s="269"/>
      <c r="S278" s="269"/>
      <c r="T278" s="269"/>
      <c r="U278" s="269"/>
      <c r="V278" s="269"/>
      <c r="W278" s="269"/>
      <c r="X278" s="269"/>
      <c r="Y278" s="269"/>
      <c r="Z278" s="269"/>
      <c r="AA278" s="269"/>
      <c r="AB278" s="269"/>
      <c r="AC278" s="269"/>
      <c r="AD278" s="269"/>
      <c r="AE278" s="269"/>
      <c r="AF278" s="269"/>
      <c r="AG278" s="269"/>
      <c r="AH278" s="269"/>
      <c r="AI278" s="269"/>
      <c r="AJ278" s="269"/>
      <c r="AK278" s="269"/>
      <c r="AL278" s="269"/>
      <c r="AM278" s="269"/>
      <c r="AN278" s="269"/>
      <c r="AO278" s="269"/>
      <c r="AP278" s="269"/>
      <c r="AQ278" s="269"/>
      <c r="AR278" s="269"/>
    </row>
    <row r="279" spans="1:44">
      <c r="A279" s="269"/>
      <c r="B279" s="269"/>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c r="Y279" s="269"/>
      <c r="Z279" s="269"/>
      <c r="AA279" s="269"/>
      <c r="AB279" s="269"/>
      <c r="AC279" s="269"/>
      <c r="AD279" s="269"/>
      <c r="AE279" s="269"/>
      <c r="AF279" s="269"/>
      <c r="AG279" s="269"/>
      <c r="AH279" s="269"/>
      <c r="AI279" s="269"/>
      <c r="AJ279" s="269"/>
      <c r="AK279" s="269"/>
      <c r="AL279" s="269"/>
      <c r="AM279" s="269"/>
      <c r="AN279" s="269"/>
      <c r="AO279" s="269"/>
      <c r="AP279" s="269"/>
      <c r="AQ279" s="269"/>
      <c r="AR279" s="269"/>
    </row>
    <row r="280" spans="1:44">
      <c r="A280" s="269"/>
      <c r="B280" s="269"/>
      <c r="C280" s="269"/>
      <c r="D280" s="269"/>
      <c r="E280" s="269"/>
      <c r="F280" s="269"/>
      <c r="G280" s="269"/>
      <c r="H280" s="269"/>
      <c r="I280" s="269"/>
      <c r="J280" s="269"/>
      <c r="K280" s="269"/>
      <c r="L280" s="269"/>
      <c r="M280" s="269"/>
      <c r="N280" s="269"/>
      <c r="O280" s="269"/>
      <c r="P280" s="269"/>
      <c r="Q280" s="269"/>
      <c r="R280" s="269"/>
      <c r="S280" s="269"/>
      <c r="T280" s="269"/>
      <c r="U280" s="269"/>
      <c r="V280" s="269"/>
      <c r="W280" s="269"/>
      <c r="X280" s="269"/>
      <c r="Y280" s="269"/>
      <c r="Z280" s="269"/>
      <c r="AA280" s="269"/>
      <c r="AB280" s="269"/>
      <c r="AC280" s="269"/>
      <c r="AD280" s="269"/>
      <c r="AE280" s="269"/>
      <c r="AF280" s="269"/>
      <c r="AG280" s="269"/>
      <c r="AH280" s="269"/>
      <c r="AI280" s="269"/>
      <c r="AJ280" s="269"/>
      <c r="AK280" s="269"/>
      <c r="AL280" s="269"/>
      <c r="AM280" s="269"/>
      <c r="AN280" s="269"/>
      <c r="AO280" s="269"/>
      <c r="AP280" s="269"/>
      <c r="AQ280" s="269"/>
      <c r="AR280" s="269"/>
    </row>
    <row r="281" spans="1:44">
      <c r="A281" s="269"/>
      <c r="B281" s="269"/>
      <c r="C281" s="269"/>
      <c r="D281" s="269"/>
      <c r="E281" s="269"/>
      <c r="F281" s="269"/>
      <c r="G281" s="269"/>
      <c r="H281" s="269"/>
      <c r="I281" s="269"/>
      <c r="J281" s="269"/>
      <c r="K281" s="269"/>
      <c r="L281" s="269"/>
      <c r="M281" s="269"/>
      <c r="N281" s="269"/>
      <c r="O281" s="269"/>
      <c r="P281" s="269"/>
      <c r="Q281" s="269"/>
      <c r="R281" s="269"/>
      <c r="S281" s="269"/>
      <c r="T281" s="269"/>
      <c r="U281" s="269"/>
      <c r="V281" s="269"/>
      <c r="W281" s="269"/>
      <c r="X281" s="269"/>
      <c r="Y281" s="269"/>
      <c r="Z281" s="269"/>
      <c r="AA281" s="269"/>
      <c r="AB281" s="269"/>
      <c r="AC281" s="269"/>
      <c r="AD281" s="269"/>
      <c r="AE281" s="269"/>
      <c r="AF281" s="269"/>
      <c r="AG281" s="269"/>
      <c r="AH281" s="269"/>
      <c r="AI281" s="269"/>
      <c r="AJ281" s="269"/>
      <c r="AK281" s="269"/>
      <c r="AL281" s="269"/>
      <c r="AM281" s="269"/>
      <c r="AN281" s="269"/>
      <c r="AO281" s="269"/>
      <c r="AP281" s="269"/>
      <c r="AQ281" s="269"/>
      <c r="AR281" s="269"/>
    </row>
    <row r="282" spans="1:44">
      <c r="A282" s="269"/>
      <c r="B282" s="269"/>
      <c r="C282" s="269"/>
      <c r="D282" s="269"/>
      <c r="E282" s="269"/>
      <c r="F282" s="269"/>
      <c r="G282" s="269"/>
      <c r="H282" s="269"/>
      <c r="I282" s="269"/>
      <c r="J282" s="269"/>
      <c r="K282" s="269"/>
      <c r="L282" s="269"/>
      <c r="M282" s="269"/>
      <c r="N282" s="269"/>
      <c r="O282" s="269"/>
      <c r="P282" s="269"/>
      <c r="Q282" s="269"/>
      <c r="R282" s="269"/>
      <c r="S282" s="269"/>
      <c r="T282" s="269"/>
      <c r="U282" s="269"/>
      <c r="V282" s="269"/>
      <c r="W282" s="269"/>
      <c r="X282" s="269"/>
      <c r="Y282" s="269"/>
      <c r="Z282" s="269"/>
      <c r="AA282" s="269"/>
      <c r="AB282" s="269"/>
      <c r="AC282" s="269"/>
      <c r="AD282" s="269"/>
      <c r="AE282" s="269"/>
      <c r="AF282" s="269"/>
      <c r="AG282" s="269"/>
      <c r="AH282" s="269"/>
      <c r="AI282" s="269"/>
      <c r="AJ282" s="269"/>
      <c r="AK282" s="269"/>
      <c r="AL282" s="269"/>
      <c r="AM282" s="269"/>
      <c r="AN282" s="269"/>
      <c r="AO282" s="269"/>
      <c r="AP282" s="269"/>
      <c r="AQ282" s="269"/>
      <c r="AR282" s="269"/>
    </row>
    <row r="283" spans="1:44">
      <c r="A283" s="269"/>
      <c r="B283" s="269"/>
      <c r="C283" s="269"/>
      <c r="D283" s="269"/>
      <c r="E283" s="269"/>
      <c r="F283" s="269"/>
      <c r="G283" s="269"/>
      <c r="H283" s="269"/>
      <c r="I283" s="269"/>
      <c r="J283" s="269"/>
      <c r="K283" s="269"/>
      <c r="L283" s="269"/>
      <c r="M283" s="269"/>
      <c r="N283" s="269"/>
      <c r="O283" s="269"/>
      <c r="P283" s="269"/>
      <c r="Q283" s="269"/>
      <c r="R283" s="269"/>
      <c r="S283" s="269"/>
      <c r="T283" s="269"/>
      <c r="U283" s="269"/>
      <c r="V283" s="269"/>
      <c r="W283" s="269"/>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row>
    <row r="284" spans="1:44">
      <c r="A284" s="269"/>
      <c r="B284" s="269"/>
      <c r="C284" s="269"/>
      <c r="D284" s="269"/>
      <c r="E284" s="269"/>
      <c r="F284" s="269"/>
      <c r="G284" s="269"/>
      <c r="H284" s="269"/>
      <c r="I284" s="269"/>
      <c r="J284" s="269"/>
      <c r="K284" s="269"/>
      <c r="L284" s="269"/>
      <c r="M284" s="269"/>
      <c r="N284" s="269"/>
      <c r="O284" s="269"/>
      <c r="P284" s="269"/>
      <c r="Q284" s="269"/>
      <c r="R284" s="269"/>
      <c r="S284" s="269"/>
      <c r="T284" s="269"/>
      <c r="U284" s="269"/>
      <c r="V284" s="269"/>
      <c r="W284" s="269"/>
      <c r="X284" s="269"/>
      <c r="Y284" s="269"/>
      <c r="Z284" s="269"/>
      <c r="AA284" s="269"/>
      <c r="AB284" s="269"/>
      <c r="AC284" s="269"/>
      <c r="AD284" s="269"/>
      <c r="AE284" s="269"/>
      <c r="AF284" s="269"/>
      <c r="AG284" s="269"/>
      <c r="AH284" s="269"/>
      <c r="AI284" s="269"/>
      <c r="AJ284" s="269"/>
      <c r="AK284" s="269"/>
      <c r="AL284" s="269"/>
      <c r="AM284" s="269"/>
      <c r="AN284" s="269"/>
      <c r="AO284" s="269"/>
      <c r="AP284" s="269"/>
      <c r="AQ284" s="269"/>
      <c r="AR284" s="269"/>
    </row>
    <row r="285" spans="1:44">
      <c r="A285" s="269"/>
      <c r="B285" s="269"/>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c r="Y285" s="269"/>
      <c r="Z285" s="269"/>
      <c r="AA285" s="269"/>
      <c r="AB285" s="269"/>
      <c r="AC285" s="269"/>
      <c r="AD285" s="269"/>
      <c r="AE285" s="269"/>
      <c r="AF285" s="269"/>
      <c r="AG285" s="269"/>
      <c r="AH285" s="269"/>
      <c r="AI285" s="269"/>
      <c r="AJ285" s="269"/>
      <c r="AK285" s="269"/>
      <c r="AL285" s="269"/>
      <c r="AM285" s="269"/>
      <c r="AN285" s="269"/>
      <c r="AO285" s="269"/>
      <c r="AP285" s="269"/>
      <c r="AQ285" s="269"/>
      <c r="AR285" s="269"/>
    </row>
    <row r="286" spans="1:44">
      <c r="A286" s="269"/>
      <c r="B286" s="269"/>
      <c r="C286" s="269"/>
      <c r="D286" s="269"/>
      <c r="E286" s="269"/>
      <c r="F286" s="269"/>
      <c r="G286" s="269"/>
      <c r="H286" s="269"/>
      <c r="I286" s="269"/>
      <c r="J286" s="269"/>
      <c r="K286" s="269"/>
      <c r="L286" s="269"/>
      <c r="M286" s="269"/>
      <c r="N286" s="269"/>
      <c r="O286" s="269"/>
      <c r="P286" s="269"/>
      <c r="Q286" s="269"/>
      <c r="R286" s="269"/>
      <c r="S286" s="269"/>
      <c r="T286" s="269"/>
      <c r="U286" s="269"/>
      <c r="V286" s="269"/>
      <c r="W286" s="269"/>
      <c r="X286" s="269"/>
      <c r="Y286" s="269"/>
      <c r="Z286" s="269"/>
      <c r="AA286" s="269"/>
      <c r="AB286" s="269"/>
      <c r="AC286" s="269"/>
      <c r="AD286" s="269"/>
      <c r="AE286" s="269"/>
      <c r="AF286" s="269"/>
      <c r="AG286" s="269"/>
      <c r="AH286" s="269"/>
      <c r="AI286" s="269"/>
      <c r="AJ286" s="269"/>
      <c r="AK286" s="269"/>
      <c r="AL286" s="269"/>
      <c r="AM286" s="269"/>
      <c r="AN286" s="269"/>
      <c r="AO286" s="269"/>
      <c r="AP286" s="269"/>
      <c r="AQ286" s="269"/>
      <c r="AR286" s="269"/>
    </row>
    <row r="287" spans="1:44">
      <c r="A287" s="269"/>
      <c r="B287" s="269"/>
      <c r="C287" s="269"/>
      <c r="D287" s="269"/>
      <c r="E287" s="269"/>
      <c r="F287" s="269"/>
      <c r="G287" s="269"/>
      <c r="H287" s="269"/>
      <c r="I287" s="269"/>
      <c r="J287" s="269"/>
      <c r="K287" s="269"/>
      <c r="L287" s="269"/>
      <c r="M287" s="269"/>
      <c r="N287" s="269"/>
      <c r="O287" s="269"/>
      <c r="P287" s="269"/>
      <c r="Q287" s="269"/>
      <c r="R287" s="269"/>
      <c r="S287" s="269"/>
      <c r="T287" s="269"/>
      <c r="U287" s="269"/>
      <c r="V287" s="269"/>
      <c r="W287" s="269"/>
      <c r="X287" s="269"/>
      <c r="Y287" s="269"/>
      <c r="Z287" s="269"/>
      <c r="AA287" s="269"/>
      <c r="AB287" s="269"/>
      <c r="AC287" s="269"/>
      <c r="AD287" s="269"/>
      <c r="AE287" s="269"/>
      <c r="AF287" s="269"/>
      <c r="AG287" s="269"/>
      <c r="AH287" s="269"/>
      <c r="AI287" s="269"/>
      <c r="AJ287" s="269"/>
      <c r="AK287" s="269"/>
      <c r="AL287" s="269"/>
      <c r="AM287" s="269"/>
      <c r="AN287" s="269"/>
      <c r="AO287" s="269"/>
      <c r="AP287" s="269"/>
      <c r="AQ287" s="269"/>
      <c r="AR287" s="269"/>
    </row>
    <row r="288" spans="1:44">
      <c r="A288" s="269"/>
      <c r="B288" s="269"/>
      <c r="C288" s="269"/>
      <c r="D288" s="269"/>
      <c r="E288" s="269"/>
      <c r="F288" s="269"/>
      <c r="G288" s="269"/>
      <c r="H288" s="269"/>
      <c r="I288" s="269"/>
      <c r="J288" s="269"/>
      <c r="K288" s="269"/>
      <c r="L288" s="269"/>
      <c r="M288" s="269"/>
      <c r="N288" s="269"/>
      <c r="O288" s="269"/>
      <c r="P288" s="269"/>
      <c r="Q288" s="269"/>
      <c r="R288" s="269"/>
      <c r="S288" s="269"/>
      <c r="T288" s="269"/>
      <c r="U288" s="269"/>
      <c r="V288" s="269"/>
      <c r="W288" s="269"/>
      <c r="X288" s="269"/>
      <c r="Y288" s="269"/>
      <c r="Z288" s="269"/>
      <c r="AA288" s="269"/>
      <c r="AB288" s="269"/>
      <c r="AC288" s="269"/>
      <c r="AD288" s="269"/>
      <c r="AE288" s="269"/>
      <c r="AF288" s="269"/>
      <c r="AG288" s="269"/>
      <c r="AH288" s="269"/>
      <c r="AI288" s="269"/>
      <c r="AJ288" s="269"/>
      <c r="AK288" s="269"/>
      <c r="AL288" s="269"/>
      <c r="AM288" s="269"/>
      <c r="AN288" s="269"/>
      <c r="AO288" s="269"/>
      <c r="AP288" s="269"/>
      <c r="AQ288" s="269"/>
      <c r="AR288" s="269"/>
    </row>
    <row r="289" spans="1:44">
      <c r="A289" s="269"/>
      <c r="B289" s="269"/>
      <c r="C289" s="269"/>
      <c r="D289" s="269"/>
      <c r="E289" s="269"/>
      <c r="F289" s="269"/>
      <c r="G289" s="269"/>
      <c r="H289" s="269"/>
      <c r="I289" s="269"/>
      <c r="J289" s="269"/>
      <c r="K289" s="269"/>
      <c r="L289" s="269"/>
      <c r="M289" s="269"/>
      <c r="N289" s="269"/>
      <c r="O289" s="269"/>
      <c r="P289" s="269"/>
      <c r="Q289" s="269"/>
      <c r="R289" s="269"/>
      <c r="S289" s="269"/>
      <c r="T289" s="269"/>
      <c r="U289" s="269"/>
      <c r="V289" s="269"/>
      <c r="W289" s="269"/>
      <c r="X289" s="269"/>
      <c r="Y289" s="269"/>
      <c r="Z289" s="269"/>
      <c r="AA289" s="269"/>
      <c r="AB289" s="269"/>
      <c r="AC289" s="269"/>
      <c r="AD289" s="269"/>
      <c r="AE289" s="269"/>
      <c r="AF289" s="269"/>
      <c r="AG289" s="269"/>
      <c r="AH289" s="269"/>
      <c r="AI289" s="269"/>
      <c r="AJ289" s="269"/>
      <c r="AK289" s="269"/>
      <c r="AL289" s="269"/>
      <c r="AM289" s="269"/>
      <c r="AN289" s="269"/>
      <c r="AO289" s="269"/>
      <c r="AP289" s="269"/>
      <c r="AQ289" s="269"/>
      <c r="AR289" s="269"/>
    </row>
    <row r="290" spans="1:44">
      <c r="A290" s="269"/>
      <c r="B290" s="269"/>
      <c r="C290" s="269"/>
      <c r="D290" s="26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69"/>
      <c r="AR290" s="269"/>
    </row>
    <row r="291" spans="1:44">
      <c r="A291" s="269"/>
      <c r="B291" s="269"/>
      <c r="C291" s="269"/>
      <c r="D291" s="269"/>
      <c r="E291" s="269"/>
      <c r="F291" s="269"/>
      <c r="G291" s="269"/>
      <c r="H291" s="269"/>
      <c r="I291" s="269"/>
      <c r="J291" s="269"/>
      <c r="K291" s="269"/>
      <c r="L291" s="269"/>
      <c r="M291" s="269"/>
      <c r="N291" s="269"/>
      <c r="O291" s="269"/>
      <c r="P291" s="269"/>
      <c r="Q291" s="269"/>
      <c r="R291" s="269"/>
      <c r="S291" s="269"/>
      <c r="T291" s="269"/>
      <c r="U291" s="269"/>
      <c r="V291" s="269"/>
      <c r="W291" s="269"/>
      <c r="X291" s="269"/>
      <c r="Y291" s="269"/>
      <c r="Z291" s="269"/>
      <c r="AA291" s="269"/>
      <c r="AB291" s="269"/>
      <c r="AC291" s="269"/>
      <c r="AD291" s="269"/>
      <c r="AE291" s="269"/>
      <c r="AF291" s="269"/>
      <c r="AG291" s="269"/>
      <c r="AH291" s="269"/>
      <c r="AI291" s="269"/>
      <c r="AJ291" s="269"/>
      <c r="AK291" s="269"/>
      <c r="AL291" s="269"/>
      <c r="AM291" s="269"/>
      <c r="AN291" s="269"/>
      <c r="AO291" s="269"/>
      <c r="AP291" s="269"/>
      <c r="AQ291" s="269"/>
      <c r="AR291" s="269"/>
    </row>
    <row r="292" spans="1:44">
      <c r="A292" s="269"/>
      <c r="B292" s="269"/>
      <c r="C292" s="269"/>
      <c r="D292" s="269"/>
      <c r="E292" s="269"/>
      <c r="F292" s="269"/>
      <c r="G292" s="269"/>
      <c r="H292" s="269"/>
      <c r="I292" s="269"/>
      <c r="J292" s="269"/>
      <c r="K292" s="269"/>
      <c r="L292" s="269"/>
      <c r="M292" s="269"/>
      <c r="N292" s="269"/>
      <c r="O292" s="269"/>
      <c r="P292" s="269"/>
      <c r="Q292" s="269"/>
      <c r="R292" s="269"/>
      <c r="S292" s="269"/>
      <c r="T292" s="269"/>
      <c r="U292" s="269"/>
      <c r="V292" s="269"/>
      <c r="W292" s="269"/>
      <c r="X292" s="269"/>
      <c r="Y292" s="269"/>
      <c r="Z292" s="269"/>
      <c r="AA292" s="269"/>
      <c r="AB292" s="269"/>
      <c r="AC292" s="269"/>
      <c r="AD292" s="269"/>
      <c r="AE292" s="269"/>
      <c r="AF292" s="269"/>
      <c r="AG292" s="269"/>
      <c r="AH292" s="269"/>
      <c r="AI292" s="269"/>
      <c r="AJ292" s="269"/>
      <c r="AK292" s="269"/>
      <c r="AL292" s="269"/>
      <c r="AM292" s="269"/>
      <c r="AN292" s="269"/>
      <c r="AO292" s="269"/>
      <c r="AP292" s="269"/>
      <c r="AQ292" s="269"/>
      <c r="AR292" s="269"/>
    </row>
    <row r="293" spans="1:44">
      <c r="A293" s="269"/>
      <c r="B293" s="269"/>
      <c r="C293" s="269"/>
      <c r="D293" s="269"/>
      <c r="E293" s="269"/>
      <c r="F293" s="269"/>
      <c r="G293" s="269"/>
      <c r="H293" s="269"/>
      <c r="I293" s="269"/>
      <c r="J293" s="269"/>
      <c r="K293" s="269"/>
      <c r="L293" s="269"/>
      <c r="M293" s="269"/>
      <c r="N293" s="269"/>
      <c r="O293" s="269"/>
      <c r="P293" s="269"/>
      <c r="Q293" s="269"/>
      <c r="R293" s="269"/>
      <c r="S293" s="269"/>
      <c r="T293" s="269"/>
      <c r="U293" s="269"/>
      <c r="V293" s="269"/>
      <c r="W293" s="269"/>
      <c r="X293" s="269"/>
      <c r="Y293" s="269"/>
      <c r="Z293" s="269"/>
      <c r="AA293" s="269"/>
      <c r="AB293" s="269"/>
      <c r="AC293" s="269"/>
      <c r="AD293" s="269"/>
      <c r="AE293" s="269"/>
      <c r="AF293" s="269"/>
      <c r="AG293" s="269"/>
      <c r="AH293" s="269"/>
      <c r="AI293" s="269"/>
      <c r="AJ293" s="269"/>
      <c r="AK293" s="269"/>
      <c r="AL293" s="269"/>
      <c r="AM293" s="269"/>
      <c r="AN293" s="269"/>
      <c r="AO293" s="269"/>
      <c r="AP293" s="269"/>
      <c r="AQ293" s="269"/>
      <c r="AR293" s="269"/>
    </row>
    <row r="294" spans="1:44">
      <c r="A294" s="269"/>
      <c r="B294" s="269"/>
      <c r="C294" s="269"/>
      <c r="D294" s="269"/>
      <c r="E294" s="269"/>
      <c r="F294" s="269"/>
      <c r="G294" s="269"/>
      <c r="H294" s="269"/>
      <c r="I294" s="269"/>
      <c r="J294" s="269"/>
      <c r="K294" s="269"/>
      <c r="L294" s="269"/>
      <c r="M294" s="269"/>
      <c r="N294" s="269"/>
      <c r="O294" s="269"/>
      <c r="P294" s="269"/>
      <c r="Q294" s="269"/>
      <c r="R294" s="269"/>
      <c r="S294" s="269"/>
      <c r="T294" s="269"/>
      <c r="U294" s="269"/>
      <c r="V294" s="269"/>
      <c r="W294" s="269"/>
      <c r="X294" s="269"/>
      <c r="Y294" s="269"/>
      <c r="Z294" s="269"/>
      <c r="AA294" s="269"/>
      <c r="AB294" s="269"/>
      <c r="AC294" s="269"/>
      <c r="AD294" s="269"/>
      <c r="AE294" s="269"/>
      <c r="AF294" s="269"/>
      <c r="AG294" s="269"/>
      <c r="AH294" s="269"/>
      <c r="AI294" s="269"/>
      <c r="AJ294" s="269"/>
      <c r="AK294" s="269"/>
      <c r="AL294" s="269"/>
      <c r="AM294" s="269"/>
      <c r="AN294" s="269"/>
      <c r="AO294" s="269"/>
      <c r="AP294" s="269"/>
      <c r="AQ294" s="269"/>
      <c r="AR294" s="269"/>
    </row>
    <row r="295" spans="1:44">
      <c r="A295" s="269"/>
      <c r="B295" s="269"/>
      <c r="C295" s="269"/>
      <c r="D295" s="269"/>
      <c r="E295" s="269"/>
      <c r="F295" s="269"/>
      <c r="G295" s="269"/>
      <c r="H295" s="269"/>
      <c r="I295" s="269"/>
      <c r="J295" s="269"/>
      <c r="K295" s="269"/>
      <c r="L295" s="269"/>
      <c r="M295" s="269"/>
      <c r="N295" s="269"/>
      <c r="O295" s="269"/>
      <c r="P295" s="269"/>
      <c r="Q295" s="269"/>
      <c r="R295" s="269"/>
      <c r="S295" s="269"/>
      <c r="T295" s="269"/>
      <c r="U295" s="269"/>
      <c r="V295" s="269"/>
      <c r="W295" s="269"/>
      <c r="X295" s="269"/>
      <c r="Y295" s="269"/>
      <c r="Z295" s="269"/>
      <c r="AA295" s="269"/>
      <c r="AB295" s="269"/>
      <c r="AC295" s="269"/>
      <c r="AD295" s="269"/>
      <c r="AE295" s="269"/>
      <c r="AF295" s="269"/>
      <c r="AG295" s="269"/>
      <c r="AH295" s="269"/>
      <c r="AI295" s="269"/>
      <c r="AJ295" s="269"/>
      <c r="AK295" s="269"/>
      <c r="AL295" s="269"/>
      <c r="AM295" s="269"/>
      <c r="AN295" s="269"/>
      <c r="AO295" s="269"/>
      <c r="AP295" s="269"/>
      <c r="AQ295" s="269"/>
      <c r="AR295" s="269"/>
    </row>
    <row r="296" spans="1:44">
      <c r="A296" s="269"/>
      <c r="B296" s="269"/>
      <c r="C296" s="269"/>
      <c r="D296" s="269"/>
      <c r="E296" s="269"/>
      <c r="F296" s="269"/>
      <c r="G296" s="269"/>
      <c r="H296" s="269"/>
      <c r="I296" s="269"/>
      <c r="J296" s="269"/>
      <c r="K296" s="269"/>
      <c r="L296" s="269"/>
      <c r="M296" s="269"/>
      <c r="N296" s="269"/>
      <c r="O296" s="269"/>
      <c r="P296" s="269"/>
      <c r="Q296" s="269"/>
      <c r="R296" s="269"/>
      <c r="S296" s="269"/>
      <c r="T296" s="269"/>
      <c r="U296" s="269"/>
      <c r="V296" s="269"/>
      <c r="W296" s="269"/>
      <c r="X296" s="269"/>
      <c r="Y296" s="269"/>
      <c r="Z296" s="269"/>
      <c r="AA296" s="269"/>
      <c r="AB296" s="269"/>
      <c r="AC296" s="269"/>
      <c r="AD296" s="269"/>
      <c r="AE296" s="269"/>
      <c r="AF296" s="269"/>
      <c r="AG296" s="269"/>
      <c r="AH296" s="269"/>
      <c r="AI296" s="269"/>
      <c r="AJ296" s="269"/>
      <c r="AK296" s="269"/>
      <c r="AL296" s="269"/>
      <c r="AM296" s="269"/>
      <c r="AN296" s="269"/>
      <c r="AO296" s="269"/>
      <c r="AP296" s="269"/>
      <c r="AQ296" s="269"/>
      <c r="AR296" s="269"/>
    </row>
    <row r="297" spans="1:44">
      <c r="A297" s="269"/>
      <c r="B297" s="269"/>
      <c r="C297" s="269"/>
      <c r="D297" s="269"/>
      <c r="E297" s="269"/>
      <c r="F297" s="269"/>
      <c r="G297" s="269"/>
      <c r="H297" s="269"/>
      <c r="I297" s="269"/>
      <c r="J297" s="269"/>
      <c r="K297" s="269"/>
      <c r="L297" s="269"/>
      <c r="M297" s="269"/>
      <c r="N297" s="269"/>
      <c r="O297" s="269"/>
      <c r="P297" s="269"/>
      <c r="Q297" s="269"/>
      <c r="R297" s="269"/>
      <c r="S297" s="269"/>
      <c r="T297" s="269"/>
      <c r="U297" s="269"/>
      <c r="V297" s="269"/>
      <c r="W297" s="269"/>
      <c r="X297" s="269"/>
      <c r="Y297" s="269"/>
      <c r="Z297" s="269"/>
      <c r="AA297" s="269"/>
      <c r="AB297" s="269"/>
      <c r="AC297" s="269"/>
      <c r="AD297" s="269"/>
      <c r="AE297" s="269"/>
      <c r="AF297" s="269"/>
      <c r="AG297" s="269"/>
      <c r="AH297" s="269"/>
      <c r="AI297" s="269"/>
      <c r="AJ297" s="269"/>
      <c r="AK297" s="269"/>
      <c r="AL297" s="269"/>
      <c r="AM297" s="269"/>
      <c r="AN297" s="269"/>
      <c r="AO297" s="269"/>
      <c r="AP297" s="269"/>
      <c r="AQ297" s="269"/>
      <c r="AR297" s="269"/>
    </row>
    <row r="298" spans="1:44">
      <c r="A298" s="269"/>
      <c r="B298" s="269"/>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row>
    <row r="299" spans="1:44">
      <c r="A299" s="269"/>
      <c r="B299" s="269"/>
      <c r="C299" s="269"/>
      <c r="D299" s="269"/>
      <c r="E299" s="269"/>
      <c r="F299" s="269"/>
      <c r="G299" s="269"/>
      <c r="H299" s="269"/>
      <c r="I299" s="269"/>
      <c r="J299" s="269"/>
      <c r="K299" s="269"/>
      <c r="L299" s="269"/>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row>
    <row r="300" spans="1:44">
      <c r="A300" s="269"/>
      <c r="B300" s="269"/>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c r="AA300" s="269"/>
      <c r="AB300" s="269"/>
      <c r="AC300" s="269"/>
      <c r="AD300" s="269"/>
      <c r="AE300" s="269"/>
      <c r="AF300" s="269"/>
      <c r="AG300" s="269"/>
      <c r="AH300" s="269"/>
      <c r="AI300" s="269"/>
      <c r="AJ300" s="269"/>
      <c r="AK300" s="269"/>
      <c r="AL300" s="269"/>
      <c r="AM300" s="269"/>
      <c r="AN300" s="269"/>
      <c r="AO300" s="269"/>
      <c r="AP300" s="269"/>
      <c r="AQ300" s="269"/>
      <c r="AR300" s="269"/>
    </row>
    <row r="301" spans="1:44">
      <c r="A301" s="269"/>
      <c r="B301" s="269"/>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row>
    <row r="302" spans="1:44">
      <c r="A302" s="269"/>
      <c r="B302" s="269"/>
      <c r="C302" s="269"/>
      <c r="D302" s="269"/>
      <c r="E302" s="269"/>
      <c r="F302" s="269"/>
      <c r="G302" s="269"/>
      <c r="H302" s="269"/>
      <c r="I302" s="269"/>
      <c r="J302" s="269"/>
      <c r="K302" s="269"/>
      <c r="L302" s="269"/>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row>
    <row r="303" spans="1:44">
      <c r="A303" s="269"/>
      <c r="B303" s="269"/>
      <c r="C303" s="269"/>
      <c r="D303" s="269"/>
      <c r="E303" s="269"/>
      <c r="F303" s="269"/>
      <c r="G303" s="269"/>
      <c r="H303" s="269"/>
      <c r="I303" s="269"/>
      <c r="J303" s="269"/>
      <c r="K303" s="269"/>
      <c r="L303" s="269"/>
      <c r="M303" s="269"/>
      <c r="N303" s="269"/>
      <c r="O303" s="269"/>
      <c r="P303" s="269"/>
      <c r="Q303" s="269"/>
      <c r="R303" s="269"/>
      <c r="S303" s="269"/>
      <c r="T303" s="269"/>
      <c r="U303" s="269"/>
      <c r="V303" s="269"/>
      <c r="W303" s="269"/>
      <c r="X303" s="269"/>
      <c r="Y303" s="269"/>
      <c r="Z303" s="269"/>
      <c r="AA303" s="269"/>
      <c r="AB303" s="269"/>
      <c r="AC303" s="269"/>
      <c r="AD303" s="269"/>
      <c r="AE303" s="269"/>
      <c r="AF303" s="269"/>
      <c r="AG303" s="269"/>
      <c r="AH303" s="269"/>
      <c r="AI303" s="269"/>
      <c r="AJ303" s="269"/>
      <c r="AK303" s="269"/>
      <c r="AL303" s="269"/>
      <c r="AM303" s="269"/>
      <c r="AN303" s="269"/>
      <c r="AO303" s="269"/>
      <c r="AP303" s="269"/>
      <c r="AQ303" s="269"/>
      <c r="AR303" s="269"/>
    </row>
    <row r="304" spans="1:44">
      <c r="A304" s="269"/>
      <c r="B304" s="269"/>
      <c r="C304" s="269"/>
      <c r="D304" s="269"/>
      <c r="E304" s="269"/>
      <c r="F304" s="269"/>
      <c r="G304" s="269"/>
      <c r="H304" s="269"/>
      <c r="I304" s="269"/>
      <c r="J304" s="269"/>
      <c r="K304" s="269"/>
      <c r="L304" s="269"/>
      <c r="M304" s="269"/>
      <c r="N304" s="269"/>
      <c r="O304" s="269"/>
      <c r="P304" s="269"/>
      <c r="Q304" s="269"/>
      <c r="R304" s="269"/>
      <c r="S304" s="269"/>
      <c r="T304" s="269"/>
      <c r="U304" s="269"/>
      <c r="V304" s="269"/>
      <c r="W304" s="269"/>
      <c r="X304" s="269"/>
      <c r="Y304" s="269"/>
      <c r="Z304" s="269"/>
      <c r="AA304" s="269"/>
      <c r="AB304" s="269"/>
      <c r="AC304" s="269"/>
      <c r="AD304" s="269"/>
      <c r="AE304" s="269"/>
      <c r="AF304" s="269"/>
      <c r="AG304" s="269"/>
      <c r="AH304" s="269"/>
      <c r="AI304" s="269"/>
      <c r="AJ304" s="269"/>
      <c r="AK304" s="269"/>
      <c r="AL304" s="269"/>
      <c r="AM304" s="269"/>
      <c r="AN304" s="269"/>
      <c r="AO304" s="269"/>
      <c r="AP304" s="269"/>
      <c r="AQ304" s="269"/>
      <c r="AR304" s="269"/>
    </row>
    <row r="305" spans="1:44">
      <c r="A305" s="269"/>
      <c r="B305" s="269"/>
      <c r="C305" s="269"/>
      <c r="D305" s="269"/>
      <c r="E305" s="269"/>
      <c r="F305" s="269"/>
      <c r="G305" s="269"/>
      <c r="H305" s="269"/>
      <c r="I305" s="269"/>
      <c r="J305" s="269"/>
      <c r="K305" s="269"/>
      <c r="L305" s="269"/>
      <c r="M305" s="269"/>
      <c r="N305" s="269"/>
      <c r="O305" s="269"/>
      <c r="P305" s="269"/>
      <c r="Q305" s="269"/>
      <c r="R305" s="269"/>
      <c r="S305" s="269"/>
      <c r="T305" s="269"/>
      <c r="U305" s="269"/>
      <c r="V305" s="269"/>
      <c r="W305" s="269"/>
      <c r="X305" s="269"/>
      <c r="Y305" s="269"/>
      <c r="Z305" s="269"/>
      <c r="AA305" s="269"/>
      <c r="AB305" s="269"/>
      <c r="AC305" s="269"/>
      <c r="AD305" s="269"/>
      <c r="AE305" s="269"/>
      <c r="AF305" s="269"/>
      <c r="AG305" s="269"/>
      <c r="AH305" s="269"/>
      <c r="AI305" s="269"/>
      <c r="AJ305" s="269"/>
      <c r="AK305" s="269"/>
      <c r="AL305" s="269"/>
      <c r="AM305" s="269"/>
      <c r="AN305" s="269"/>
      <c r="AO305" s="269"/>
      <c r="AP305" s="269"/>
      <c r="AQ305" s="269"/>
      <c r="AR305" s="269"/>
    </row>
    <row r="306" spans="1:44">
      <c r="A306" s="269"/>
      <c r="B306" s="269"/>
      <c r="C306" s="269"/>
      <c r="D306" s="269"/>
      <c r="E306" s="269"/>
      <c r="F306" s="269"/>
      <c r="G306" s="269"/>
      <c r="H306" s="269"/>
      <c r="I306" s="269"/>
      <c r="J306" s="269"/>
      <c r="K306" s="269"/>
      <c r="L306" s="269"/>
      <c r="M306" s="269"/>
      <c r="N306" s="269"/>
      <c r="O306" s="269"/>
      <c r="P306" s="269"/>
      <c r="Q306" s="269"/>
      <c r="R306" s="269"/>
      <c r="S306" s="269"/>
      <c r="T306" s="269"/>
      <c r="U306" s="269"/>
      <c r="V306" s="269"/>
      <c r="W306" s="269"/>
      <c r="X306" s="269"/>
      <c r="Y306" s="269"/>
      <c r="Z306" s="269"/>
      <c r="AA306" s="269"/>
      <c r="AB306" s="269"/>
      <c r="AC306" s="269"/>
      <c r="AD306" s="269"/>
      <c r="AE306" s="269"/>
      <c r="AF306" s="269"/>
      <c r="AG306" s="269"/>
      <c r="AH306" s="269"/>
      <c r="AI306" s="269"/>
      <c r="AJ306" s="269"/>
      <c r="AK306" s="269"/>
      <c r="AL306" s="269"/>
      <c r="AM306" s="269"/>
      <c r="AN306" s="269"/>
      <c r="AO306" s="269"/>
      <c r="AP306" s="269"/>
      <c r="AQ306" s="269"/>
      <c r="AR306" s="269"/>
    </row>
    <row r="307" spans="1:44">
      <c r="A307" s="269"/>
      <c r="B307" s="269"/>
      <c r="C307" s="269"/>
      <c r="D307" s="269"/>
      <c r="E307" s="269"/>
      <c r="F307" s="269"/>
      <c r="G307" s="269"/>
      <c r="H307" s="269"/>
      <c r="I307" s="269"/>
      <c r="J307" s="269"/>
      <c r="K307" s="269"/>
      <c r="L307" s="269"/>
      <c r="M307" s="269"/>
      <c r="N307" s="269"/>
      <c r="O307" s="269"/>
      <c r="P307" s="269"/>
      <c r="Q307" s="269"/>
      <c r="R307" s="269"/>
      <c r="S307" s="269"/>
      <c r="T307" s="269"/>
      <c r="U307" s="269"/>
      <c r="V307" s="269"/>
      <c r="W307" s="269"/>
      <c r="X307" s="269"/>
      <c r="Y307" s="269"/>
      <c r="Z307" s="269"/>
      <c r="AA307" s="269"/>
      <c r="AB307" s="269"/>
      <c r="AC307" s="269"/>
      <c r="AD307" s="269"/>
      <c r="AE307" s="269"/>
      <c r="AF307" s="269"/>
      <c r="AG307" s="269"/>
      <c r="AH307" s="269"/>
      <c r="AI307" s="269"/>
      <c r="AJ307" s="269"/>
      <c r="AK307" s="269"/>
      <c r="AL307" s="269"/>
      <c r="AM307" s="269"/>
      <c r="AN307" s="269"/>
      <c r="AO307" s="269"/>
      <c r="AP307" s="269"/>
      <c r="AQ307" s="269"/>
      <c r="AR307" s="269"/>
    </row>
    <row r="308" spans="1:44">
      <c r="A308" s="269"/>
      <c r="B308" s="269"/>
      <c r="C308" s="269"/>
      <c r="D308" s="269"/>
      <c r="E308" s="269"/>
      <c r="F308" s="269"/>
      <c r="G308" s="269"/>
      <c r="H308" s="269"/>
      <c r="I308" s="269"/>
      <c r="J308" s="269"/>
      <c r="K308" s="269"/>
      <c r="L308" s="269"/>
      <c r="M308" s="269"/>
      <c r="N308" s="269"/>
      <c r="O308" s="269"/>
      <c r="P308" s="269"/>
      <c r="Q308" s="269"/>
      <c r="R308" s="269"/>
      <c r="S308" s="269"/>
      <c r="T308" s="269"/>
      <c r="U308" s="269"/>
      <c r="V308" s="269"/>
      <c r="W308" s="269"/>
      <c r="X308" s="269"/>
      <c r="Y308" s="269"/>
      <c r="Z308" s="269"/>
      <c r="AA308" s="269"/>
      <c r="AB308" s="269"/>
      <c r="AC308" s="269"/>
      <c r="AD308" s="269"/>
      <c r="AE308" s="269"/>
      <c r="AF308" s="269"/>
      <c r="AG308" s="269"/>
      <c r="AH308" s="269"/>
      <c r="AI308" s="269"/>
      <c r="AJ308" s="269"/>
      <c r="AK308" s="269"/>
      <c r="AL308" s="269"/>
      <c r="AM308" s="269"/>
      <c r="AN308" s="269"/>
      <c r="AO308" s="269"/>
      <c r="AP308" s="269"/>
      <c r="AQ308" s="269"/>
      <c r="AR308" s="269"/>
    </row>
    <row r="309" spans="1:44">
      <c r="A309" s="269"/>
      <c r="B309" s="269"/>
      <c r="C309" s="269"/>
      <c r="D309" s="269"/>
      <c r="E309" s="269"/>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row>
    <row r="310" spans="1:44">
      <c r="A310" s="269"/>
      <c r="B310" s="269"/>
      <c r="C310" s="269"/>
      <c r="D310" s="269"/>
      <c r="E310" s="269"/>
      <c r="F310" s="269"/>
      <c r="G310" s="269"/>
      <c r="H310" s="269"/>
      <c r="I310" s="269"/>
      <c r="J310" s="269"/>
      <c r="K310" s="269"/>
      <c r="L310" s="269"/>
      <c r="M310" s="269"/>
      <c r="N310" s="269"/>
      <c r="O310" s="269"/>
      <c r="P310" s="269"/>
      <c r="Q310" s="269"/>
      <c r="R310" s="269"/>
      <c r="S310" s="269"/>
      <c r="T310" s="269"/>
      <c r="U310" s="269"/>
      <c r="V310" s="269"/>
      <c r="W310" s="269"/>
      <c r="X310" s="269"/>
      <c r="Y310" s="269"/>
      <c r="Z310" s="269"/>
      <c r="AA310" s="269"/>
      <c r="AB310" s="269"/>
      <c r="AC310" s="269"/>
      <c r="AD310" s="269"/>
      <c r="AE310" s="269"/>
      <c r="AF310" s="269"/>
      <c r="AG310" s="269"/>
      <c r="AH310" s="269"/>
      <c r="AI310" s="269"/>
      <c r="AJ310" s="269"/>
      <c r="AK310" s="269"/>
      <c r="AL310" s="269"/>
      <c r="AM310" s="269"/>
      <c r="AN310" s="269"/>
      <c r="AO310" s="269"/>
      <c r="AP310" s="269"/>
      <c r="AQ310" s="269"/>
      <c r="AR310" s="269"/>
    </row>
    <row r="311" spans="1:44">
      <c r="A311" s="269"/>
      <c r="B311" s="269"/>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row>
    <row r="312" spans="1:44">
      <c r="A312" s="269"/>
      <c r="B312" s="269"/>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c r="AA312" s="269"/>
      <c r="AB312" s="269"/>
      <c r="AC312" s="269"/>
      <c r="AD312" s="269"/>
      <c r="AE312" s="269"/>
      <c r="AF312" s="269"/>
      <c r="AG312" s="269"/>
      <c r="AH312" s="269"/>
      <c r="AI312" s="269"/>
      <c r="AJ312" s="269"/>
      <c r="AK312" s="269"/>
      <c r="AL312" s="269"/>
      <c r="AM312" s="269"/>
      <c r="AN312" s="269"/>
      <c r="AO312" s="269"/>
      <c r="AP312" s="269"/>
      <c r="AQ312" s="269"/>
      <c r="AR312" s="269"/>
    </row>
    <row r="313" spans="1:44">
      <c r="A313" s="269"/>
      <c r="B313" s="269"/>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c r="Y313" s="269"/>
      <c r="Z313" s="269"/>
      <c r="AA313" s="269"/>
      <c r="AB313" s="269"/>
      <c r="AC313" s="269"/>
      <c r="AD313" s="269"/>
      <c r="AE313" s="269"/>
      <c r="AF313" s="269"/>
      <c r="AG313" s="269"/>
      <c r="AH313" s="269"/>
      <c r="AI313" s="269"/>
      <c r="AJ313" s="269"/>
      <c r="AK313" s="269"/>
      <c r="AL313" s="269"/>
      <c r="AM313" s="269"/>
      <c r="AN313" s="269"/>
      <c r="AO313" s="269"/>
      <c r="AP313" s="269"/>
      <c r="AQ313" s="269"/>
      <c r="AR313" s="269"/>
    </row>
    <row r="314" spans="1:44">
      <c r="A314" s="269"/>
      <c r="B314" s="269"/>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c r="AA314" s="269"/>
      <c r="AB314" s="269"/>
      <c r="AC314" s="269"/>
      <c r="AD314" s="269"/>
      <c r="AE314" s="269"/>
      <c r="AF314" s="269"/>
      <c r="AG314" s="269"/>
      <c r="AH314" s="269"/>
      <c r="AI314" s="269"/>
      <c r="AJ314" s="269"/>
      <c r="AK314" s="269"/>
      <c r="AL314" s="269"/>
      <c r="AM314" s="269"/>
      <c r="AN314" s="269"/>
      <c r="AO314" s="269"/>
      <c r="AP314" s="269"/>
      <c r="AQ314" s="269"/>
      <c r="AR314" s="269"/>
    </row>
    <row r="315" spans="1:44">
      <c r="A315" s="269"/>
      <c r="B315" s="269"/>
      <c r="C315" s="269"/>
      <c r="D315" s="269"/>
      <c r="E315" s="269"/>
      <c r="F315" s="269"/>
      <c r="G315" s="269"/>
      <c r="H315" s="269"/>
      <c r="I315" s="269"/>
      <c r="J315" s="269"/>
      <c r="K315" s="269"/>
      <c r="L315" s="269"/>
      <c r="M315" s="269"/>
      <c r="N315" s="269"/>
      <c r="O315" s="269"/>
      <c r="P315" s="269"/>
      <c r="Q315" s="269"/>
      <c r="R315" s="269"/>
      <c r="S315" s="269"/>
      <c r="T315" s="269"/>
      <c r="U315" s="269"/>
      <c r="V315" s="269"/>
      <c r="W315" s="269"/>
      <c r="X315" s="269"/>
      <c r="Y315" s="269"/>
      <c r="Z315" s="269"/>
      <c r="AA315" s="269"/>
      <c r="AB315" s="269"/>
      <c r="AC315" s="269"/>
      <c r="AD315" s="269"/>
      <c r="AE315" s="269"/>
      <c r="AF315" s="269"/>
      <c r="AG315" s="269"/>
      <c r="AH315" s="269"/>
      <c r="AI315" s="269"/>
      <c r="AJ315" s="269"/>
      <c r="AK315" s="269"/>
      <c r="AL315" s="269"/>
      <c r="AM315" s="269"/>
      <c r="AN315" s="269"/>
      <c r="AO315" s="269"/>
      <c r="AP315" s="269"/>
      <c r="AQ315" s="269"/>
      <c r="AR315" s="269"/>
    </row>
    <row r="316" spans="1:44">
      <c r="A316" s="269"/>
      <c r="B316" s="269"/>
      <c r="C316" s="269"/>
      <c r="D316" s="269"/>
      <c r="E316" s="269"/>
      <c r="F316" s="269"/>
      <c r="G316" s="269"/>
      <c r="H316" s="269"/>
      <c r="I316" s="269"/>
      <c r="J316" s="269"/>
      <c r="K316" s="269"/>
      <c r="L316" s="269"/>
      <c r="M316" s="269"/>
      <c r="N316" s="269"/>
      <c r="O316" s="269"/>
      <c r="P316" s="269"/>
      <c r="Q316" s="269"/>
      <c r="R316" s="269"/>
      <c r="S316" s="269"/>
      <c r="T316" s="269"/>
      <c r="U316" s="269"/>
      <c r="V316" s="269"/>
      <c r="W316" s="269"/>
      <c r="X316" s="269"/>
      <c r="Y316" s="269"/>
      <c r="Z316" s="269"/>
      <c r="AA316" s="269"/>
      <c r="AB316" s="269"/>
      <c r="AC316" s="269"/>
      <c r="AD316" s="269"/>
      <c r="AE316" s="269"/>
      <c r="AF316" s="269"/>
      <c r="AG316" s="269"/>
      <c r="AH316" s="269"/>
      <c r="AI316" s="269"/>
      <c r="AJ316" s="269"/>
      <c r="AK316" s="269"/>
      <c r="AL316" s="269"/>
      <c r="AM316" s="269"/>
      <c r="AN316" s="269"/>
      <c r="AO316" s="269"/>
      <c r="AP316" s="269"/>
      <c r="AQ316" s="269"/>
      <c r="AR316" s="269"/>
    </row>
    <row r="317" spans="1:44">
      <c r="A317" s="269"/>
      <c r="B317" s="269"/>
      <c r="C317" s="269"/>
      <c r="D317" s="269"/>
      <c r="E317" s="269"/>
      <c r="F317" s="269"/>
      <c r="G317" s="269"/>
      <c r="H317" s="269"/>
      <c r="I317" s="269"/>
      <c r="J317" s="269"/>
      <c r="K317" s="269"/>
      <c r="L317" s="269"/>
      <c r="M317" s="269"/>
      <c r="N317" s="269"/>
      <c r="O317" s="269"/>
      <c r="P317" s="269"/>
      <c r="Q317" s="269"/>
      <c r="R317" s="269"/>
      <c r="S317" s="269"/>
      <c r="T317" s="269"/>
      <c r="U317" s="269"/>
      <c r="V317" s="269"/>
      <c r="W317" s="269"/>
      <c r="X317" s="269"/>
      <c r="Y317" s="269"/>
      <c r="Z317" s="269"/>
      <c r="AA317" s="269"/>
      <c r="AB317" s="269"/>
      <c r="AC317" s="269"/>
      <c r="AD317" s="269"/>
      <c r="AE317" s="269"/>
      <c r="AF317" s="269"/>
      <c r="AG317" s="269"/>
      <c r="AH317" s="269"/>
      <c r="AI317" s="269"/>
      <c r="AJ317" s="269"/>
      <c r="AK317" s="269"/>
      <c r="AL317" s="269"/>
      <c r="AM317" s="269"/>
      <c r="AN317" s="269"/>
      <c r="AO317" s="269"/>
      <c r="AP317" s="269"/>
      <c r="AQ317" s="269"/>
      <c r="AR317" s="269"/>
    </row>
    <row r="318" spans="1:44">
      <c r="A318" s="269"/>
      <c r="B318" s="269"/>
      <c r="C318" s="269"/>
      <c r="D318" s="269"/>
      <c r="E318" s="269"/>
      <c r="F318" s="269"/>
      <c r="G318" s="269"/>
      <c r="H318" s="269"/>
      <c r="I318" s="269"/>
      <c r="J318" s="269"/>
      <c r="K318" s="269"/>
      <c r="L318" s="269"/>
      <c r="M318" s="269"/>
      <c r="N318" s="269"/>
      <c r="O318" s="269"/>
      <c r="P318" s="269"/>
      <c r="Q318" s="269"/>
      <c r="R318" s="269"/>
      <c r="S318" s="269"/>
      <c r="T318" s="269"/>
      <c r="U318" s="269"/>
      <c r="V318" s="269"/>
      <c r="W318" s="269"/>
      <c r="X318" s="269"/>
      <c r="Y318" s="269"/>
      <c r="Z318" s="269"/>
      <c r="AA318" s="269"/>
      <c r="AB318" s="269"/>
      <c r="AC318" s="269"/>
      <c r="AD318" s="269"/>
      <c r="AE318" s="269"/>
      <c r="AF318" s="269"/>
      <c r="AG318" s="269"/>
      <c r="AH318" s="269"/>
      <c r="AI318" s="269"/>
      <c r="AJ318" s="269"/>
      <c r="AK318" s="269"/>
      <c r="AL318" s="269"/>
      <c r="AM318" s="269"/>
      <c r="AN318" s="269"/>
      <c r="AO318" s="269"/>
      <c r="AP318" s="269"/>
      <c r="AQ318" s="269"/>
      <c r="AR318" s="269"/>
    </row>
    <row r="319" spans="1:44">
      <c r="A319" s="269"/>
      <c r="B319" s="269"/>
      <c r="C319" s="269"/>
      <c r="D319" s="269"/>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c r="AA319" s="269"/>
      <c r="AB319" s="269"/>
      <c r="AC319" s="269"/>
      <c r="AD319" s="269"/>
      <c r="AE319" s="269"/>
      <c r="AF319" s="269"/>
      <c r="AG319" s="269"/>
      <c r="AH319" s="269"/>
      <c r="AI319" s="269"/>
      <c r="AJ319" s="269"/>
      <c r="AK319" s="269"/>
      <c r="AL319" s="269"/>
      <c r="AM319" s="269"/>
      <c r="AN319" s="269"/>
      <c r="AO319" s="269"/>
      <c r="AP319" s="269"/>
      <c r="AQ319" s="269"/>
      <c r="AR319" s="269"/>
    </row>
    <row r="320" spans="1:44">
      <c r="A320" s="269"/>
      <c r="B320" s="269"/>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69"/>
      <c r="Y320" s="269"/>
      <c r="Z320" s="269"/>
      <c r="AA320" s="269"/>
      <c r="AB320" s="269"/>
      <c r="AC320" s="269"/>
      <c r="AD320" s="269"/>
      <c r="AE320" s="269"/>
      <c r="AF320" s="269"/>
      <c r="AG320" s="269"/>
      <c r="AH320" s="269"/>
      <c r="AI320" s="269"/>
      <c r="AJ320" s="269"/>
      <c r="AK320" s="269"/>
      <c r="AL320" s="269"/>
      <c r="AM320" s="269"/>
      <c r="AN320" s="269"/>
      <c r="AO320" s="269"/>
      <c r="AP320" s="269"/>
      <c r="AQ320" s="269"/>
      <c r="AR320" s="269"/>
    </row>
    <row r="321" spans="1:44">
      <c r="A321" s="269"/>
      <c r="B321" s="269"/>
      <c r="C321" s="269"/>
      <c r="D321" s="269"/>
      <c r="E321" s="269"/>
      <c r="F321" s="269"/>
      <c r="G321" s="269"/>
      <c r="H321" s="269"/>
      <c r="I321" s="269"/>
      <c r="J321" s="269"/>
      <c r="K321" s="269"/>
      <c r="L321" s="269"/>
      <c r="M321" s="269"/>
      <c r="N321" s="269"/>
      <c r="O321" s="269"/>
      <c r="P321" s="269"/>
      <c r="Q321" s="269"/>
      <c r="R321" s="269"/>
      <c r="S321" s="269"/>
      <c r="T321" s="269"/>
      <c r="U321" s="269"/>
      <c r="V321" s="269"/>
      <c r="W321" s="269"/>
      <c r="X321" s="269"/>
      <c r="Y321" s="269"/>
      <c r="Z321" s="269"/>
      <c r="AA321" s="269"/>
      <c r="AB321" s="269"/>
      <c r="AC321" s="269"/>
      <c r="AD321" s="269"/>
      <c r="AE321" s="269"/>
      <c r="AF321" s="269"/>
      <c r="AG321" s="269"/>
      <c r="AH321" s="269"/>
      <c r="AI321" s="269"/>
      <c r="AJ321" s="269"/>
      <c r="AK321" s="269"/>
      <c r="AL321" s="269"/>
      <c r="AM321" s="269"/>
      <c r="AN321" s="269"/>
      <c r="AO321" s="269"/>
      <c r="AP321" s="269"/>
      <c r="AQ321" s="269"/>
      <c r="AR321" s="269"/>
    </row>
    <row r="322" spans="1:44">
      <c r="A322" s="269"/>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c r="Y322" s="269"/>
      <c r="Z322" s="269"/>
      <c r="AA322" s="269"/>
      <c r="AB322" s="269"/>
      <c r="AC322" s="269"/>
      <c r="AD322" s="269"/>
      <c r="AE322" s="269"/>
      <c r="AF322" s="269"/>
      <c r="AG322" s="269"/>
      <c r="AH322" s="269"/>
      <c r="AI322" s="269"/>
      <c r="AJ322" s="269"/>
      <c r="AK322" s="269"/>
      <c r="AL322" s="269"/>
      <c r="AM322" s="269"/>
      <c r="AN322" s="269"/>
      <c r="AO322" s="269"/>
      <c r="AP322" s="269"/>
      <c r="AQ322" s="269"/>
      <c r="AR322" s="269"/>
    </row>
    <row r="323" spans="1:44">
      <c r="A323" s="269"/>
      <c r="B323" s="269"/>
      <c r="C323" s="269"/>
      <c r="D323" s="269"/>
      <c r="E323" s="269"/>
      <c r="F323" s="269"/>
      <c r="G323" s="269"/>
      <c r="H323" s="269"/>
      <c r="I323" s="269"/>
      <c r="J323" s="269"/>
      <c r="K323" s="269"/>
      <c r="L323" s="269"/>
      <c r="M323" s="269"/>
      <c r="N323" s="269"/>
      <c r="O323" s="269"/>
      <c r="P323" s="269"/>
      <c r="Q323" s="269"/>
      <c r="R323" s="269"/>
      <c r="S323" s="269"/>
      <c r="T323" s="269"/>
      <c r="U323" s="269"/>
      <c r="V323" s="269"/>
      <c r="W323" s="269"/>
      <c r="X323" s="269"/>
      <c r="Y323" s="269"/>
      <c r="Z323" s="269"/>
      <c r="AA323" s="269"/>
      <c r="AB323" s="269"/>
      <c r="AC323" s="269"/>
      <c r="AD323" s="269"/>
      <c r="AE323" s="269"/>
      <c r="AF323" s="269"/>
      <c r="AG323" s="269"/>
      <c r="AH323" s="269"/>
      <c r="AI323" s="269"/>
      <c r="AJ323" s="269"/>
      <c r="AK323" s="269"/>
      <c r="AL323" s="269"/>
      <c r="AM323" s="269"/>
      <c r="AN323" s="269"/>
      <c r="AO323" s="269"/>
      <c r="AP323" s="269"/>
      <c r="AQ323" s="269"/>
      <c r="AR323" s="269"/>
    </row>
    <row r="324" spans="1:44">
      <c r="A324" s="269"/>
      <c r="B324" s="269"/>
      <c r="C324" s="269"/>
      <c r="D324" s="269"/>
      <c r="E324" s="269"/>
      <c r="F324" s="269"/>
      <c r="G324" s="269"/>
      <c r="H324" s="269"/>
      <c r="I324" s="269"/>
      <c r="J324" s="269"/>
      <c r="K324" s="269"/>
      <c r="L324" s="269"/>
      <c r="M324" s="269"/>
      <c r="N324" s="269"/>
      <c r="O324" s="269"/>
      <c r="P324" s="269"/>
      <c r="Q324" s="269"/>
      <c r="R324" s="269"/>
      <c r="S324" s="269"/>
      <c r="T324" s="269"/>
      <c r="U324" s="269"/>
      <c r="V324" s="269"/>
      <c r="W324" s="269"/>
      <c r="X324" s="269"/>
      <c r="Y324" s="269"/>
      <c r="Z324" s="269"/>
      <c r="AA324" s="269"/>
      <c r="AB324" s="269"/>
      <c r="AC324" s="269"/>
      <c r="AD324" s="269"/>
      <c r="AE324" s="269"/>
      <c r="AF324" s="269"/>
      <c r="AG324" s="269"/>
      <c r="AH324" s="269"/>
      <c r="AI324" s="269"/>
      <c r="AJ324" s="269"/>
      <c r="AK324" s="269"/>
      <c r="AL324" s="269"/>
      <c r="AM324" s="269"/>
      <c r="AN324" s="269"/>
      <c r="AO324" s="269"/>
      <c r="AP324" s="269"/>
      <c r="AQ324" s="269"/>
      <c r="AR324" s="269"/>
    </row>
    <row r="325" spans="1:44">
      <c r="A325" s="269"/>
      <c r="B325" s="269"/>
      <c r="C325" s="269"/>
      <c r="D325" s="269"/>
      <c r="E325" s="269"/>
      <c r="F325" s="269"/>
      <c r="G325" s="269"/>
      <c r="H325" s="269"/>
      <c r="I325" s="269"/>
      <c r="J325" s="269"/>
      <c r="K325" s="269"/>
      <c r="L325" s="269"/>
      <c r="M325" s="269"/>
      <c r="N325" s="269"/>
      <c r="O325" s="269"/>
      <c r="P325" s="269"/>
      <c r="Q325" s="269"/>
      <c r="R325" s="269"/>
      <c r="S325" s="269"/>
      <c r="T325" s="269"/>
      <c r="U325" s="269"/>
      <c r="V325" s="269"/>
      <c r="W325" s="269"/>
      <c r="X325" s="269"/>
      <c r="Y325" s="269"/>
      <c r="Z325" s="269"/>
      <c r="AA325" s="269"/>
      <c r="AB325" s="269"/>
      <c r="AC325" s="269"/>
      <c r="AD325" s="269"/>
      <c r="AE325" s="269"/>
      <c r="AF325" s="269"/>
      <c r="AG325" s="269"/>
      <c r="AH325" s="269"/>
      <c r="AI325" s="269"/>
      <c r="AJ325" s="269"/>
      <c r="AK325" s="269"/>
      <c r="AL325" s="269"/>
      <c r="AM325" s="269"/>
      <c r="AN325" s="269"/>
      <c r="AO325" s="269"/>
      <c r="AP325" s="269"/>
      <c r="AQ325" s="269"/>
      <c r="AR325" s="269"/>
    </row>
    <row r="326" spans="1:44">
      <c r="A326" s="269"/>
      <c r="B326" s="269"/>
      <c r="C326" s="269"/>
      <c r="D326" s="269"/>
      <c r="E326" s="269"/>
      <c r="F326" s="269"/>
      <c r="G326" s="269"/>
      <c r="H326" s="269"/>
      <c r="I326" s="269"/>
      <c r="J326" s="269"/>
      <c r="K326" s="269"/>
      <c r="L326" s="269"/>
      <c r="M326" s="269"/>
      <c r="N326" s="269"/>
      <c r="O326" s="269"/>
      <c r="P326" s="269"/>
      <c r="Q326" s="269"/>
      <c r="R326" s="269"/>
      <c r="S326" s="269"/>
      <c r="T326" s="269"/>
      <c r="U326" s="269"/>
      <c r="V326" s="269"/>
      <c r="W326" s="269"/>
      <c r="X326" s="269"/>
      <c r="Y326" s="269"/>
      <c r="Z326" s="269"/>
      <c r="AA326" s="269"/>
      <c r="AB326" s="269"/>
      <c r="AC326" s="269"/>
      <c r="AD326" s="269"/>
      <c r="AE326" s="269"/>
      <c r="AF326" s="269"/>
      <c r="AG326" s="269"/>
      <c r="AH326" s="269"/>
      <c r="AI326" s="269"/>
      <c r="AJ326" s="269"/>
      <c r="AK326" s="269"/>
      <c r="AL326" s="269"/>
      <c r="AM326" s="269"/>
      <c r="AN326" s="269"/>
      <c r="AO326" s="269"/>
      <c r="AP326" s="269"/>
      <c r="AQ326" s="269"/>
      <c r="AR326" s="269"/>
    </row>
    <row r="327" spans="1:44">
      <c r="A327" s="269"/>
      <c r="B327" s="269"/>
      <c r="C327" s="269"/>
      <c r="D327" s="269"/>
      <c r="E327" s="269"/>
      <c r="F327" s="269"/>
      <c r="G327" s="269"/>
      <c r="H327" s="269"/>
      <c r="I327" s="269"/>
      <c r="J327" s="269"/>
      <c r="K327" s="269"/>
      <c r="L327" s="269"/>
      <c r="M327" s="269"/>
      <c r="N327" s="269"/>
      <c r="O327" s="269"/>
      <c r="P327" s="269"/>
      <c r="Q327" s="269"/>
      <c r="R327" s="269"/>
      <c r="S327" s="269"/>
      <c r="T327" s="269"/>
      <c r="U327" s="269"/>
      <c r="V327" s="269"/>
      <c r="W327" s="269"/>
      <c r="X327" s="269"/>
      <c r="Y327" s="269"/>
      <c r="Z327" s="269"/>
      <c r="AA327" s="269"/>
      <c r="AB327" s="269"/>
      <c r="AC327" s="269"/>
      <c r="AD327" s="269"/>
      <c r="AE327" s="269"/>
      <c r="AF327" s="269"/>
      <c r="AG327" s="269"/>
      <c r="AH327" s="269"/>
      <c r="AI327" s="269"/>
      <c r="AJ327" s="269"/>
      <c r="AK327" s="269"/>
      <c r="AL327" s="269"/>
      <c r="AM327" s="269"/>
      <c r="AN327" s="269"/>
      <c r="AO327" s="269"/>
      <c r="AP327" s="269"/>
      <c r="AQ327" s="269"/>
      <c r="AR327" s="269"/>
    </row>
    <row r="328" spans="1:44">
      <c r="A328" s="269"/>
      <c r="B328" s="269"/>
      <c r="C328" s="269"/>
      <c r="D328" s="269"/>
      <c r="E328" s="269"/>
      <c r="F328" s="269"/>
      <c r="G328" s="269"/>
      <c r="H328" s="269"/>
      <c r="I328" s="269"/>
      <c r="J328" s="269"/>
      <c r="K328" s="269"/>
      <c r="L328" s="269"/>
      <c r="M328" s="269"/>
      <c r="N328" s="269"/>
      <c r="O328" s="269"/>
      <c r="P328" s="269"/>
      <c r="Q328" s="269"/>
      <c r="R328" s="269"/>
      <c r="S328" s="269"/>
      <c r="T328" s="269"/>
      <c r="U328" s="269"/>
      <c r="V328" s="269"/>
      <c r="W328" s="269"/>
      <c r="X328" s="269"/>
      <c r="Y328" s="269"/>
      <c r="Z328" s="269"/>
      <c r="AA328" s="269"/>
      <c r="AB328" s="269"/>
      <c r="AC328" s="269"/>
      <c r="AD328" s="269"/>
      <c r="AE328" s="269"/>
      <c r="AF328" s="269"/>
      <c r="AG328" s="269"/>
      <c r="AH328" s="269"/>
      <c r="AI328" s="269"/>
      <c r="AJ328" s="269"/>
      <c r="AK328" s="269"/>
      <c r="AL328" s="269"/>
      <c r="AM328" s="269"/>
      <c r="AN328" s="269"/>
      <c r="AO328" s="269"/>
      <c r="AP328" s="269"/>
      <c r="AQ328" s="269"/>
      <c r="AR328" s="269"/>
    </row>
    <row r="329" spans="1:44">
      <c r="A329" s="269"/>
      <c r="B329" s="269"/>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c r="Y329" s="269"/>
      <c r="Z329" s="269"/>
      <c r="AA329" s="269"/>
      <c r="AB329" s="269"/>
      <c r="AC329" s="269"/>
      <c r="AD329" s="269"/>
      <c r="AE329" s="269"/>
      <c r="AF329" s="269"/>
      <c r="AG329" s="269"/>
      <c r="AH329" s="269"/>
      <c r="AI329" s="269"/>
      <c r="AJ329" s="269"/>
      <c r="AK329" s="269"/>
      <c r="AL329" s="269"/>
      <c r="AM329" s="269"/>
      <c r="AN329" s="269"/>
      <c r="AO329" s="269"/>
      <c r="AP329" s="269"/>
      <c r="AQ329" s="269"/>
      <c r="AR329" s="269"/>
    </row>
    <row r="330" spans="1:44">
      <c r="A330" s="269"/>
      <c r="B330" s="269"/>
      <c r="C330" s="269"/>
      <c r="D330" s="269"/>
      <c r="E330" s="269"/>
      <c r="F330" s="269"/>
      <c r="G330" s="269"/>
      <c r="H330" s="269"/>
      <c r="I330" s="269"/>
      <c r="J330" s="269"/>
      <c r="K330" s="269"/>
      <c r="L330" s="269"/>
      <c r="M330" s="269"/>
      <c r="N330" s="269"/>
      <c r="O330" s="269"/>
      <c r="P330" s="269"/>
      <c r="Q330" s="269"/>
      <c r="R330" s="269"/>
      <c r="S330" s="269"/>
      <c r="T330" s="269"/>
      <c r="U330" s="269"/>
      <c r="V330" s="269"/>
      <c r="W330" s="269"/>
      <c r="X330" s="269"/>
      <c r="Y330" s="269"/>
      <c r="Z330" s="269"/>
      <c r="AA330" s="269"/>
      <c r="AB330" s="269"/>
      <c r="AC330" s="269"/>
      <c r="AD330" s="269"/>
      <c r="AE330" s="269"/>
      <c r="AF330" s="269"/>
      <c r="AG330" s="269"/>
      <c r="AH330" s="269"/>
      <c r="AI330" s="269"/>
      <c r="AJ330" s="269"/>
      <c r="AK330" s="269"/>
      <c r="AL330" s="269"/>
      <c r="AM330" s="269"/>
      <c r="AN330" s="269"/>
      <c r="AO330" s="269"/>
      <c r="AP330" s="269"/>
      <c r="AQ330" s="269"/>
      <c r="AR330" s="269"/>
    </row>
    <row r="331" spans="1:44">
      <c r="A331" s="269"/>
      <c r="B331" s="269"/>
      <c r="C331" s="269"/>
      <c r="D331" s="269"/>
      <c r="E331" s="269"/>
      <c r="F331" s="269"/>
      <c r="G331" s="269"/>
      <c r="H331" s="269"/>
      <c r="I331" s="269"/>
      <c r="J331" s="269"/>
      <c r="K331" s="269"/>
      <c r="L331" s="269"/>
      <c r="M331" s="269"/>
      <c r="N331" s="269"/>
      <c r="O331" s="269"/>
      <c r="P331" s="269"/>
      <c r="Q331" s="269"/>
      <c r="R331" s="269"/>
      <c r="S331" s="269"/>
      <c r="T331" s="269"/>
      <c r="U331" s="269"/>
      <c r="V331" s="269"/>
      <c r="W331" s="269"/>
      <c r="X331" s="269"/>
      <c r="Y331" s="269"/>
      <c r="Z331" s="269"/>
      <c r="AA331" s="269"/>
      <c r="AB331" s="269"/>
      <c r="AC331" s="269"/>
      <c r="AD331" s="269"/>
      <c r="AE331" s="269"/>
      <c r="AF331" s="269"/>
      <c r="AG331" s="269"/>
      <c r="AH331" s="269"/>
      <c r="AI331" s="269"/>
      <c r="AJ331" s="269"/>
      <c r="AK331" s="269"/>
      <c r="AL331" s="269"/>
      <c r="AM331" s="269"/>
      <c r="AN331" s="269"/>
      <c r="AO331" s="269"/>
      <c r="AP331" s="269"/>
      <c r="AQ331" s="269"/>
      <c r="AR331" s="269"/>
    </row>
    <row r="332" spans="1:44">
      <c r="A332" s="269"/>
      <c r="B332" s="269"/>
      <c r="C332" s="269"/>
      <c r="D332" s="269"/>
      <c r="E332" s="269"/>
      <c r="F332" s="269"/>
      <c r="G332" s="269"/>
      <c r="H332" s="269"/>
      <c r="I332" s="269"/>
      <c r="J332" s="269"/>
      <c r="K332" s="269"/>
      <c r="L332" s="269"/>
      <c r="M332" s="269"/>
      <c r="N332" s="269"/>
      <c r="O332" s="269"/>
      <c r="P332" s="269"/>
      <c r="Q332" s="269"/>
      <c r="R332" s="269"/>
      <c r="S332" s="269"/>
      <c r="T332" s="269"/>
      <c r="U332" s="269"/>
      <c r="V332" s="269"/>
      <c r="W332" s="269"/>
      <c r="X332" s="269"/>
      <c r="Y332" s="269"/>
      <c r="Z332" s="269"/>
      <c r="AA332" s="269"/>
      <c r="AB332" s="269"/>
      <c r="AC332" s="269"/>
      <c r="AD332" s="269"/>
      <c r="AE332" s="269"/>
      <c r="AF332" s="269"/>
      <c r="AG332" s="269"/>
      <c r="AH332" s="269"/>
      <c r="AI332" s="269"/>
      <c r="AJ332" s="269"/>
      <c r="AK332" s="269"/>
      <c r="AL332" s="269"/>
      <c r="AM332" s="269"/>
      <c r="AN332" s="269"/>
      <c r="AO332" s="269"/>
      <c r="AP332" s="269"/>
      <c r="AQ332" s="269"/>
      <c r="AR332" s="269"/>
    </row>
    <row r="333" spans="1:44">
      <c r="A333" s="269"/>
      <c r="B333" s="269"/>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c r="AA333" s="269"/>
      <c r="AB333" s="269"/>
      <c r="AC333" s="269"/>
      <c r="AD333" s="269"/>
      <c r="AE333" s="269"/>
      <c r="AF333" s="269"/>
      <c r="AG333" s="269"/>
      <c r="AH333" s="269"/>
      <c r="AI333" s="269"/>
      <c r="AJ333" s="269"/>
      <c r="AK333" s="269"/>
      <c r="AL333" s="269"/>
      <c r="AM333" s="269"/>
      <c r="AN333" s="269"/>
      <c r="AO333" s="269"/>
      <c r="AP333" s="269"/>
      <c r="AQ333" s="269"/>
      <c r="AR333" s="269"/>
    </row>
    <row r="334" spans="1:44">
      <c r="A334" s="269"/>
      <c r="B334" s="269"/>
      <c r="C334" s="269"/>
      <c r="D334" s="269"/>
      <c r="E334" s="269"/>
      <c r="F334" s="269"/>
      <c r="G334" s="269"/>
      <c r="H334" s="269"/>
      <c r="I334" s="269"/>
      <c r="J334" s="269"/>
      <c r="K334" s="269"/>
      <c r="L334" s="269"/>
      <c r="M334" s="269"/>
      <c r="N334" s="269"/>
      <c r="O334" s="269"/>
      <c r="P334" s="269"/>
      <c r="Q334" s="269"/>
      <c r="R334" s="269"/>
      <c r="S334" s="269"/>
      <c r="T334" s="269"/>
      <c r="U334" s="269"/>
      <c r="V334" s="269"/>
      <c r="W334" s="269"/>
      <c r="X334" s="269"/>
      <c r="Y334" s="269"/>
      <c r="Z334" s="269"/>
      <c r="AA334" s="269"/>
      <c r="AB334" s="269"/>
      <c r="AC334" s="269"/>
      <c r="AD334" s="269"/>
      <c r="AE334" s="269"/>
      <c r="AF334" s="269"/>
      <c r="AG334" s="269"/>
      <c r="AH334" s="269"/>
      <c r="AI334" s="269"/>
      <c r="AJ334" s="269"/>
      <c r="AK334" s="269"/>
      <c r="AL334" s="269"/>
      <c r="AM334" s="269"/>
      <c r="AN334" s="269"/>
      <c r="AO334" s="269"/>
      <c r="AP334" s="269"/>
      <c r="AQ334" s="269"/>
      <c r="AR334" s="269"/>
    </row>
    <row r="335" spans="1:44">
      <c r="A335" s="269"/>
      <c r="B335" s="269"/>
      <c r="C335" s="269"/>
      <c r="D335" s="269"/>
      <c r="E335" s="269"/>
      <c r="F335" s="269"/>
      <c r="G335" s="269"/>
      <c r="H335" s="269"/>
      <c r="I335" s="269"/>
      <c r="J335" s="269"/>
      <c r="K335" s="269"/>
      <c r="L335" s="269"/>
      <c r="M335" s="269"/>
      <c r="N335" s="269"/>
      <c r="O335" s="269"/>
      <c r="P335" s="269"/>
      <c r="Q335" s="269"/>
      <c r="R335" s="269"/>
      <c r="S335" s="269"/>
      <c r="T335" s="269"/>
      <c r="U335" s="269"/>
      <c r="V335" s="269"/>
      <c r="W335" s="269"/>
      <c r="X335" s="269"/>
      <c r="Y335" s="269"/>
      <c r="Z335" s="269"/>
      <c r="AA335" s="269"/>
      <c r="AB335" s="269"/>
      <c r="AC335" s="269"/>
      <c r="AD335" s="269"/>
      <c r="AE335" s="269"/>
      <c r="AF335" s="269"/>
      <c r="AG335" s="269"/>
      <c r="AH335" s="269"/>
      <c r="AI335" s="269"/>
      <c r="AJ335" s="269"/>
      <c r="AK335" s="269"/>
      <c r="AL335" s="269"/>
      <c r="AM335" s="269"/>
      <c r="AN335" s="269"/>
      <c r="AO335" s="269"/>
      <c r="AP335" s="269"/>
      <c r="AQ335" s="269"/>
      <c r="AR335" s="269"/>
    </row>
    <row r="336" spans="1:44">
      <c r="A336" s="269"/>
      <c r="B336" s="269"/>
      <c r="C336" s="269"/>
      <c r="D336" s="269"/>
      <c r="E336" s="269"/>
      <c r="F336" s="269"/>
      <c r="G336" s="269"/>
      <c r="H336" s="269"/>
      <c r="I336" s="269"/>
      <c r="J336" s="269"/>
      <c r="K336" s="269"/>
      <c r="L336" s="269"/>
      <c r="M336" s="269"/>
      <c r="N336" s="269"/>
      <c r="O336" s="269"/>
      <c r="P336" s="269"/>
      <c r="Q336" s="269"/>
      <c r="R336" s="269"/>
      <c r="S336" s="269"/>
      <c r="T336" s="269"/>
      <c r="U336" s="269"/>
      <c r="V336" s="269"/>
      <c r="W336" s="269"/>
      <c r="X336" s="269"/>
      <c r="Y336" s="269"/>
      <c r="Z336" s="269"/>
      <c r="AA336" s="269"/>
      <c r="AB336" s="269"/>
      <c r="AC336" s="269"/>
      <c r="AD336" s="269"/>
      <c r="AE336" s="269"/>
      <c r="AF336" s="269"/>
      <c r="AG336" s="269"/>
      <c r="AH336" s="269"/>
      <c r="AI336" s="269"/>
      <c r="AJ336" s="269"/>
      <c r="AK336" s="269"/>
      <c r="AL336" s="269"/>
      <c r="AM336" s="269"/>
      <c r="AN336" s="269"/>
      <c r="AO336" s="269"/>
      <c r="AP336" s="269"/>
      <c r="AQ336" s="269"/>
      <c r="AR336" s="269"/>
    </row>
    <row r="337" spans="1:44">
      <c r="A337" s="269"/>
      <c r="B337" s="269"/>
      <c r="C337" s="269"/>
      <c r="D337" s="269"/>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c r="AA337" s="269"/>
      <c r="AB337" s="269"/>
      <c r="AC337" s="269"/>
      <c r="AD337" s="269"/>
      <c r="AE337" s="269"/>
      <c r="AF337" s="269"/>
      <c r="AG337" s="269"/>
      <c r="AH337" s="269"/>
      <c r="AI337" s="269"/>
      <c r="AJ337" s="269"/>
      <c r="AK337" s="269"/>
      <c r="AL337" s="269"/>
      <c r="AM337" s="269"/>
      <c r="AN337" s="269"/>
      <c r="AO337" s="269"/>
      <c r="AP337" s="269"/>
      <c r="AQ337" s="269"/>
      <c r="AR337" s="269"/>
    </row>
    <row r="338" spans="1:44">
      <c r="A338" s="269"/>
      <c r="B338" s="269"/>
      <c r="C338" s="269"/>
      <c r="D338" s="269"/>
      <c r="E338" s="269"/>
      <c r="F338" s="269"/>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69"/>
      <c r="AN338" s="269"/>
      <c r="AO338" s="269"/>
      <c r="AP338" s="269"/>
      <c r="AQ338" s="269"/>
      <c r="AR338" s="269"/>
    </row>
    <row r="339" spans="1:44">
      <c r="A339" s="269"/>
      <c r="B339" s="269"/>
      <c r="C339" s="269"/>
      <c r="D339" s="269"/>
      <c r="E339" s="269"/>
      <c r="F339" s="269"/>
      <c r="G339" s="269"/>
      <c r="H339" s="269"/>
      <c r="I339" s="269"/>
      <c r="J339" s="269"/>
      <c r="K339" s="269"/>
      <c r="L339" s="269"/>
      <c r="M339" s="269"/>
      <c r="N339" s="269"/>
      <c r="O339" s="269"/>
      <c r="P339" s="269"/>
      <c r="Q339" s="269"/>
      <c r="R339" s="269"/>
      <c r="S339" s="269"/>
      <c r="T339" s="269"/>
      <c r="U339" s="269"/>
      <c r="V339" s="269"/>
      <c r="W339" s="269"/>
      <c r="X339" s="269"/>
      <c r="Y339" s="269"/>
      <c r="Z339" s="269"/>
      <c r="AA339" s="269"/>
      <c r="AB339" s="269"/>
      <c r="AC339" s="269"/>
      <c r="AD339" s="269"/>
      <c r="AE339" s="269"/>
      <c r="AF339" s="269"/>
      <c r="AG339" s="269"/>
      <c r="AH339" s="269"/>
      <c r="AI339" s="269"/>
      <c r="AJ339" s="269"/>
      <c r="AK339" s="269"/>
      <c r="AL339" s="269"/>
      <c r="AM339" s="269"/>
      <c r="AN339" s="269"/>
      <c r="AO339" s="269"/>
      <c r="AP339" s="269"/>
      <c r="AQ339" s="269"/>
      <c r="AR339" s="269"/>
    </row>
    <row r="340" spans="1:44">
      <c r="A340" s="269"/>
      <c r="B340" s="269"/>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c r="AA340" s="269"/>
      <c r="AB340" s="269"/>
      <c r="AC340" s="269"/>
      <c r="AD340" s="269"/>
      <c r="AE340" s="269"/>
      <c r="AF340" s="269"/>
      <c r="AG340" s="269"/>
      <c r="AH340" s="269"/>
      <c r="AI340" s="269"/>
      <c r="AJ340" s="269"/>
      <c r="AK340" s="269"/>
      <c r="AL340" s="269"/>
      <c r="AM340" s="269"/>
      <c r="AN340" s="269"/>
      <c r="AO340" s="269"/>
      <c r="AP340" s="269"/>
      <c r="AQ340" s="269"/>
      <c r="AR340" s="269"/>
    </row>
    <row r="341" spans="1:44">
      <c r="A341" s="269"/>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c r="AA341" s="269"/>
      <c r="AB341" s="269"/>
      <c r="AC341" s="269"/>
      <c r="AD341" s="269"/>
      <c r="AE341" s="269"/>
      <c r="AF341" s="269"/>
      <c r="AG341" s="269"/>
      <c r="AH341" s="269"/>
      <c r="AI341" s="269"/>
      <c r="AJ341" s="269"/>
      <c r="AK341" s="269"/>
      <c r="AL341" s="269"/>
      <c r="AM341" s="269"/>
      <c r="AN341" s="269"/>
      <c r="AO341" s="269"/>
      <c r="AP341" s="269"/>
      <c r="AQ341" s="269"/>
      <c r="AR341" s="269"/>
    </row>
    <row r="342" spans="1:44">
      <c r="A342" s="269"/>
      <c r="B342" s="269"/>
      <c r="C342" s="269"/>
      <c r="D342" s="269"/>
      <c r="E342" s="269"/>
      <c r="F342" s="269"/>
      <c r="G342" s="269"/>
      <c r="H342" s="269"/>
      <c r="I342" s="269"/>
      <c r="J342" s="269"/>
      <c r="K342" s="269"/>
      <c r="L342" s="269"/>
      <c r="M342" s="269"/>
      <c r="N342" s="269"/>
      <c r="O342" s="269"/>
      <c r="P342" s="269"/>
      <c r="Q342" s="269"/>
      <c r="R342" s="269"/>
      <c r="S342" s="269"/>
      <c r="T342" s="269"/>
      <c r="U342" s="269"/>
      <c r="V342" s="269"/>
      <c r="W342" s="269"/>
      <c r="X342" s="269"/>
      <c r="Y342" s="269"/>
      <c r="Z342" s="269"/>
      <c r="AA342" s="269"/>
      <c r="AB342" s="269"/>
      <c r="AC342" s="269"/>
      <c r="AD342" s="269"/>
      <c r="AE342" s="269"/>
      <c r="AF342" s="269"/>
      <c r="AG342" s="269"/>
      <c r="AH342" s="269"/>
      <c r="AI342" s="269"/>
      <c r="AJ342" s="269"/>
      <c r="AK342" s="269"/>
      <c r="AL342" s="269"/>
      <c r="AM342" s="269"/>
      <c r="AN342" s="269"/>
      <c r="AO342" s="269"/>
      <c r="AP342" s="269"/>
      <c r="AQ342" s="269"/>
      <c r="AR342" s="269"/>
    </row>
    <row r="343" spans="1:44">
      <c r="A343" s="269"/>
      <c r="B343" s="269"/>
      <c r="C343" s="269"/>
      <c r="D343" s="269"/>
      <c r="E343" s="269"/>
      <c r="F343" s="269"/>
      <c r="G343" s="269"/>
      <c r="H343" s="269"/>
      <c r="I343" s="269"/>
      <c r="J343" s="269"/>
      <c r="K343" s="269"/>
      <c r="L343" s="269"/>
      <c r="M343" s="269"/>
      <c r="N343" s="269"/>
      <c r="O343" s="269"/>
      <c r="P343" s="269"/>
      <c r="Q343" s="269"/>
      <c r="R343" s="269"/>
      <c r="S343" s="269"/>
      <c r="T343" s="269"/>
      <c r="U343" s="269"/>
      <c r="V343" s="269"/>
      <c r="W343" s="269"/>
      <c r="X343" s="269"/>
      <c r="Y343" s="269"/>
      <c r="Z343" s="269"/>
      <c r="AA343" s="269"/>
      <c r="AB343" s="269"/>
      <c r="AC343" s="269"/>
      <c r="AD343" s="269"/>
      <c r="AE343" s="269"/>
      <c r="AF343" s="269"/>
      <c r="AG343" s="269"/>
      <c r="AH343" s="269"/>
      <c r="AI343" s="269"/>
      <c r="AJ343" s="269"/>
      <c r="AK343" s="269"/>
      <c r="AL343" s="269"/>
      <c r="AM343" s="269"/>
      <c r="AN343" s="269"/>
      <c r="AO343" s="269"/>
      <c r="AP343" s="269"/>
      <c r="AQ343" s="269"/>
      <c r="AR343" s="269"/>
    </row>
    <row r="344" spans="1:44">
      <c r="A344" s="269"/>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c r="AA344" s="269"/>
      <c r="AB344" s="269"/>
      <c r="AC344" s="269"/>
      <c r="AD344" s="269"/>
      <c r="AE344" s="269"/>
      <c r="AF344" s="269"/>
      <c r="AG344" s="269"/>
      <c r="AH344" s="269"/>
      <c r="AI344" s="269"/>
      <c r="AJ344" s="269"/>
      <c r="AK344" s="269"/>
      <c r="AL344" s="269"/>
      <c r="AM344" s="269"/>
      <c r="AN344" s="269"/>
      <c r="AO344" s="269"/>
      <c r="AP344" s="269"/>
      <c r="AQ344" s="269"/>
      <c r="AR344" s="269"/>
    </row>
    <row r="345" spans="1:44">
      <c r="A345" s="269"/>
      <c r="B345" s="269"/>
      <c r="C345" s="269"/>
      <c r="D345" s="269"/>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c r="AA345" s="269"/>
      <c r="AB345" s="269"/>
      <c r="AC345" s="269"/>
      <c r="AD345" s="269"/>
      <c r="AE345" s="269"/>
      <c r="AF345" s="269"/>
      <c r="AG345" s="269"/>
      <c r="AH345" s="269"/>
      <c r="AI345" s="269"/>
      <c r="AJ345" s="269"/>
      <c r="AK345" s="269"/>
      <c r="AL345" s="269"/>
      <c r="AM345" s="269"/>
      <c r="AN345" s="269"/>
      <c r="AO345" s="269"/>
      <c r="AP345" s="269"/>
      <c r="AQ345" s="269"/>
      <c r="AR345" s="269"/>
    </row>
    <row r="346" spans="1:44">
      <c r="A346" s="269"/>
      <c r="B346" s="269"/>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c r="AA346" s="269"/>
      <c r="AB346" s="269"/>
      <c r="AC346" s="269"/>
      <c r="AD346" s="269"/>
      <c r="AE346" s="269"/>
      <c r="AF346" s="269"/>
      <c r="AG346" s="269"/>
      <c r="AH346" s="269"/>
      <c r="AI346" s="269"/>
      <c r="AJ346" s="269"/>
      <c r="AK346" s="269"/>
      <c r="AL346" s="269"/>
      <c r="AM346" s="269"/>
      <c r="AN346" s="269"/>
      <c r="AO346" s="269"/>
      <c r="AP346" s="269"/>
      <c r="AQ346" s="269"/>
      <c r="AR346" s="269"/>
    </row>
    <row r="347" spans="1:44">
      <c r="A347" s="269"/>
      <c r="B347" s="269"/>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row>
    <row r="348" spans="1:44">
      <c r="A348" s="269"/>
      <c r="B348" s="269"/>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c r="AA348" s="269"/>
      <c r="AB348" s="269"/>
      <c r="AC348" s="269"/>
      <c r="AD348" s="269"/>
      <c r="AE348" s="269"/>
      <c r="AF348" s="269"/>
      <c r="AG348" s="269"/>
      <c r="AH348" s="269"/>
      <c r="AI348" s="269"/>
      <c r="AJ348" s="269"/>
      <c r="AK348" s="269"/>
      <c r="AL348" s="269"/>
      <c r="AM348" s="269"/>
      <c r="AN348" s="269"/>
      <c r="AO348" s="269"/>
      <c r="AP348" s="269"/>
      <c r="AQ348" s="269"/>
      <c r="AR348" s="269"/>
    </row>
    <row r="349" spans="1:44">
      <c r="A349" s="269"/>
      <c r="B349" s="269"/>
      <c r="C349" s="269"/>
      <c r="D349" s="269"/>
      <c r="E349" s="269"/>
      <c r="F349" s="269"/>
      <c r="G349" s="269"/>
      <c r="H349" s="269"/>
      <c r="I349" s="269"/>
      <c r="J349" s="269"/>
      <c r="K349" s="269"/>
      <c r="L349" s="269"/>
      <c r="M349" s="269"/>
      <c r="N349" s="269"/>
      <c r="O349" s="269"/>
      <c r="P349" s="269"/>
      <c r="Q349" s="269"/>
      <c r="R349" s="269"/>
      <c r="S349" s="269"/>
      <c r="T349" s="269"/>
      <c r="U349" s="269"/>
      <c r="V349" s="269"/>
      <c r="W349" s="269"/>
      <c r="X349" s="269"/>
      <c r="Y349" s="269"/>
      <c r="Z349" s="269"/>
      <c r="AA349" s="269"/>
      <c r="AB349" s="269"/>
      <c r="AC349" s="269"/>
      <c r="AD349" s="269"/>
      <c r="AE349" s="269"/>
      <c r="AF349" s="269"/>
      <c r="AG349" s="269"/>
      <c r="AH349" s="269"/>
      <c r="AI349" s="269"/>
      <c r="AJ349" s="269"/>
      <c r="AK349" s="269"/>
      <c r="AL349" s="269"/>
      <c r="AM349" s="269"/>
      <c r="AN349" s="269"/>
      <c r="AO349" s="269"/>
      <c r="AP349" s="269"/>
      <c r="AQ349" s="269"/>
      <c r="AR349" s="269"/>
    </row>
    <row r="350" spans="1:44">
      <c r="A350" s="269"/>
      <c r="B350" s="269"/>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c r="AC350" s="269"/>
      <c r="AD350" s="269"/>
      <c r="AE350" s="269"/>
      <c r="AF350" s="269"/>
      <c r="AG350" s="269"/>
      <c r="AH350" s="269"/>
      <c r="AI350" s="269"/>
      <c r="AJ350" s="269"/>
      <c r="AK350" s="269"/>
      <c r="AL350" s="269"/>
      <c r="AM350" s="269"/>
      <c r="AN350" s="269"/>
      <c r="AO350" s="269"/>
      <c r="AP350" s="269"/>
      <c r="AQ350" s="269"/>
      <c r="AR350" s="269"/>
    </row>
    <row r="351" spans="1:44">
      <c r="A351" s="269"/>
      <c r="B351" s="269"/>
      <c r="C351" s="269"/>
      <c r="D351" s="269"/>
      <c r="E351" s="269"/>
      <c r="F351" s="269"/>
      <c r="G351" s="269"/>
      <c r="H351" s="269"/>
      <c r="I351" s="269"/>
      <c r="J351" s="269"/>
      <c r="K351" s="269"/>
      <c r="L351" s="269"/>
      <c r="M351" s="269"/>
      <c r="N351" s="269"/>
      <c r="O351" s="269"/>
      <c r="P351" s="269"/>
      <c r="Q351" s="269"/>
      <c r="R351" s="269"/>
      <c r="S351" s="269"/>
      <c r="T351" s="269"/>
      <c r="U351" s="269"/>
      <c r="V351" s="269"/>
      <c r="W351" s="269"/>
      <c r="X351" s="269"/>
      <c r="Y351" s="269"/>
      <c r="Z351" s="269"/>
      <c r="AA351" s="269"/>
      <c r="AB351" s="269"/>
      <c r="AC351" s="269"/>
      <c r="AD351" s="269"/>
      <c r="AE351" s="269"/>
      <c r="AF351" s="269"/>
      <c r="AG351" s="269"/>
      <c r="AH351" s="269"/>
      <c r="AI351" s="269"/>
      <c r="AJ351" s="269"/>
      <c r="AK351" s="269"/>
      <c r="AL351" s="269"/>
      <c r="AM351" s="269"/>
      <c r="AN351" s="269"/>
      <c r="AO351" s="269"/>
      <c r="AP351" s="269"/>
      <c r="AQ351" s="269"/>
      <c r="AR351" s="269"/>
    </row>
    <row r="352" spans="1:44">
      <c r="A352" s="269"/>
      <c r="B352" s="269"/>
      <c r="C352" s="269"/>
      <c r="D352" s="269"/>
      <c r="E352" s="269"/>
      <c r="F352" s="269"/>
      <c r="G352" s="269"/>
      <c r="H352" s="269"/>
      <c r="I352" s="269"/>
      <c r="J352" s="269"/>
      <c r="K352" s="269"/>
      <c r="L352" s="269"/>
      <c r="M352" s="269"/>
      <c r="N352" s="269"/>
      <c r="O352" s="269"/>
      <c r="P352" s="269"/>
      <c r="Q352" s="269"/>
      <c r="R352" s="269"/>
      <c r="S352" s="269"/>
      <c r="T352" s="269"/>
      <c r="U352" s="269"/>
      <c r="V352" s="269"/>
      <c r="W352" s="269"/>
      <c r="X352" s="269"/>
      <c r="Y352" s="269"/>
      <c r="Z352" s="269"/>
      <c r="AA352" s="269"/>
      <c r="AB352" s="269"/>
      <c r="AC352" s="269"/>
      <c r="AD352" s="269"/>
      <c r="AE352" s="269"/>
      <c r="AF352" s="269"/>
      <c r="AG352" s="269"/>
      <c r="AH352" s="269"/>
      <c r="AI352" s="269"/>
      <c r="AJ352" s="269"/>
      <c r="AK352" s="269"/>
      <c r="AL352" s="269"/>
      <c r="AM352" s="269"/>
      <c r="AN352" s="269"/>
      <c r="AO352" s="269"/>
      <c r="AP352" s="269"/>
      <c r="AQ352" s="269"/>
      <c r="AR352" s="269"/>
    </row>
    <row r="353" spans="1:44">
      <c r="A353" s="269"/>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c r="AA353" s="269"/>
      <c r="AB353" s="269"/>
      <c r="AC353" s="269"/>
      <c r="AD353" s="269"/>
      <c r="AE353" s="269"/>
      <c r="AF353" s="269"/>
      <c r="AG353" s="269"/>
      <c r="AH353" s="269"/>
      <c r="AI353" s="269"/>
      <c r="AJ353" s="269"/>
      <c r="AK353" s="269"/>
      <c r="AL353" s="269"/>
      <c r="AM353" s="269"/>
      <c r="AN353" s="269"/>
      <c r="AO353" s="269"/>
      <c r="AP353" s="269"/>
      <c r="AQ353" s="269"/>
      <c r="AR353" s="269"/>
    </row>
    <row r="354" spans="1:44">
      <c r="A354" s="269"/>
      <c r="B354" s="269"/>
      <c r="C354" s="269"/>
      <c r="D354" s="269"/>
      <c r="E354" s="269"/>
      <c r="F354" s="269"/>
      <c r="G354" s="269"/>
      <c r="H354" s="269"/>
      <c r="I354" s="269"/>
      <c r="J354" s="269"/>
      <c r="K354" s="269"/>
      <c r="L354" s="269"/>
      <c r="M354" s="269"/>
      <c r="N354" s="269"/>
      <c r="O354" s="269"/>
      <c r="P354" s="269"/>
      <c r="Q354" s="269"/>
      <c r="R354" s="269"/>
      <c r="S354" s="269"/>
      <c r="T354" s="269"/>
      <c r="U354" s="269"/>
      <c r="V354" s="269"/>
      <c r="W354" s="269"/>
      <c r="X354" s="269"/>
      <c r="Y354" s="269"/>
      <c r="Z354" s="269"/>
      <c r="AA354" s="269"/>
      <c r="AB354" s="269"/>
      <c r="AC354" s="269"/>
      <c r="AD354" s="269"/>
      <c r="AE354" s="269"/>
      <c r="AF354" s="269"/>
      <c r="AG354" s="269"/>
      <c r="AH354" s="269"/>
      <c r="AI354" s="269"/>
      <c r="AJ354" s="269"/>
      <c r="AK354" s="269"/>
      <c r="AL354" s="269"/>
      <c r="AM354" s="269"/>
      <c r="AN354" s="269"/>
      <c r="AO354" s="269"/>
      <c r="AP354" s="269"/>
      <c r="AQ354" s="269"/>
      <c r="AR354" s="269"/>
    </row>
    <row r="355" spans="1:44">
      <c r="A355" s="269"/>
      <c r="B355" s="269"/>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c r="Y355" s="269"/>
      <c r="Z355" s="269"/>
      <c r="AA355" s="269"/>
      <c r="AB355" s="269"/>
      <c r="AC355" s="269"/>
      <c r="AD355" s="269"/>
      <c r="AE355" s="269"/>
      <c r="AF355" s="269"/>
      <c r="AG355" s="269"/>
      <c r="AH355" s="269"/>
      <c r="AI355" s="269"/>
      <c r="AJ355" s="269"/>
      <c r="AK355" s="269"/>
      <c r="AL355" s="269"/>
      <c r="AM355" s="269"/>
      <c r="AN355" s="269"/>
      <c r="AO355" s="269"/>
      <c r="AP355" s="269"/>
      <c r="AQ355" s="269"/>
      <c r="AR355" s="269"/>
    </row>
    <row r="356" spans="1:44">
      <c r="A356" s="269"/>
      <c r="B356" s="269"/>
      <c r="C356" s="269"/>
      <c r="D356" s="269"/>
      <c r="E356" s="269"/>
      <c r="F356" s="269"/>
      <c r="G356" s="269"/>
      <c r="H356" s="269"/>
      <c r="I356" s="269"/>
      <c r="J356" s="269"/>
      <c r="K356" s="269"/>
      <c r="L356" s="269"/>
      <c r="M356" s="269"/>
      <c r="N356" s="269"/>
      <c r="O356" s="269"/>
      <c r="P356" s="269"/>
      <c r="Q356" s="269"/>
      <c r="R356" s="269"/>
      <c r="S356" s="269"/>
      <c r="T356" s="269"/>
      <c r="U356" s="269"/>
      <c r="V356" s="269"/>
      <c r="W356" s="269"/>
      <c r="X356" s="269"/>
      <c r="Y356" s="269"/>
      <c r="Z356" s="269"/>
      <c r="AA356" s="269"/>
      <c r="AB356" s="269"/>
      <c r="AC356" s="269"/>
      <c r="AD356" s="269"/>
      <c r="AE356" s="269"/>
      <c r="AF356" s="269"/>
      <c r="AG356" s="269"/>
      <c r="AH356" s="269"/>
      <c r="AI356" s="269"/>
      <c r="AJ356" s="269"/>
      <c r="AK356" s="269"/>
      <c r="AL356" s="269"/>
      <c r="AM356" s="269"/>
      <c r="AN356" s="269"/>
      <c r="AO356" s="269"/>
      <c r="AP356" s="269"/>
      <c r="AQ356" s="269"/>
      <c r="AR356" s="269"/>
    </row>
    <row r="357" spans="1:44">
      <c r="A357" s="269"/>
      <c r="B357" s="269"/>
      <c r="C357" s="269"/>
      <c r="D357" s="269"/>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269"/>
      <c r="AE357" s="269"/>
      <c r="AF357" s="269"/>
      <c r="AG357" s="269"/>
      <c r="AH357" s="269"/>
      <c r="AI357" s="269"/>
      <c r="AJ357" s="269"/>
      <c r="AK357" s="269"/>
      <c r="AL357" s="269"/>
      <c r="AM357" s="269"/>
      <c r="AN357" s="269"/>
      <c r="AO357" s="269"/>
      <c r="AP357" s="269"/>
      <c r="AQ357" s="269"/>
      <c r="AR357" s="269"/>
    </row>
    <row r="358" spans="1:44">
      <c r="A358" s="269"/>
      <c r="B358" s="269"/>
      <c r="C358" s="269"/>
      <c r="D358" s="269"/>
      <c r="E358" s="269"/>
      <c r="F358" s="269"/>
      <c r="G358" s="269"/>
      <c r="H358" s="269"/>
      <c r="I358" s="269"/>
      <c r="J358" s="269"/>
      <c r="K358" s="269"/>
      <c r="L358" s="269"/>
      <c r="M358" s="269"/>
      <c r="N358" s="269"/>
      <c r="O358" s="269"/>
      <c r="P358" s="269"/>
      <c r="Q358" s="269"/>
      <c r="R358" s="269"/>
      <c r="S358" s="269"/>
      <c r="T358" s="269"/>
      <c r="U358" s="269"/>
      <c r="V358" s="269"/>
      <c r="W358" s="269"/>
      <c r="X358" s="269"/>
      <c r="Y358" s="269"/>
      <c r="Z358" s="269"/>
      <c r="AA358" s="269"/>
      <c r="AB358" s="269"/>
      <c r="AC358" s="269"/>
      <c r="AD358" s="269"/>
      <c r="AE358" s="269"/>
      <c r="AF358" s="269"/>
      <c r="AG358" s="269"/>
      <c r="AH358" s="269"/>
      <c r="AI358" s="269"/>
      <c r="AJ358" s="269"/>
      <c r="AK358" s="269"/>
      <c r="AL358" s="269"/>
      <c r="AM358" s="269"/>
      <c r="AN358" s="269"/>
      <c r="AO358" s="269"/>
      <c r="AP358" s="269"/>
      <c r="AQ358" s="269"/>
      <c r="AR358" s="269"/>
    </row>
    <row r="359" spans="1:44">
      <c r="A359" s="269"/>
      <c r="B359" s="269"/>
      <c r="C359" s="269"/>
      <c r="D359" s="269"/>
      <c r="E359" s="269"/>
      <c r="F359" s="269"/>
      <c r="G359" s="269"/>
      <c r="H359" s="269"/>
      <c r="I359" s="269"/>
      <c r="J359" s="269"/>
      <c r="K359" s="269"/>
      <c r="L359" s="269"/>
      <c r="M359" s="269"/>
      <c r="N359" s="269"/>
      <c r="O359" s="269"/>
      <c r="P359" s="269"/>
      <c r="Q359" s="269"/>
      <c r="R359" s="269"/>
      <c r="S359" s="269"/>
      <c r="T359" s="269"/>
      <c r="U359" s="269"/>
      <c r="V359" s="269"/>
      <c r="W359" s="269"/>
      <c r="X359" s="269"/>
      <c r="Y359" s="269"/>
      <c r="Z359" s="269"/>
      <c r="AA359" s="269"/>
      <c r="AB359" s="269"/>
      <c r="AC359" s="269"/>
      <c r="AD359" s="269"/>
      <c r="AE359" s="269"/>
      <c r="AF359" s="269"/>
      <c r="AG359" s="269"/>
      <c r="AH359" s="269"/>
      <c r="AI359" s="269"/>
      <c r="AJ359" s="269"/>
      <c r="AK359" s="269"/>
      <c r="AL359" s="269"/>
      <c r="AM359" s="269"/>
      <c r="AN359" s="269"/>
      <c r="AO359" s="269"/>
      <c r="AP359" s="269"/>
      <c r="AQ359" s="269"/>
      <c r="AR359" s="269"/>
    </row>
    <row r="360" spans="1:44">
      <c r="A360" s="269"/>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69"/>
      <c r="AL360" s="269"/>
      <c r="AM360" s="269"/>
      <c r="AN360" s="269"/>
      <c r="AO360" s="269"/>
      <c r="AP360" s="269"/>
      <c r="AQ360" s="269"/>
      <c r="AR360" s="269"/>
    </row>
    <row r="361" spans="1:44">
      <c r="A361" s="269"/>
      <c r="B361" s="269"/>
      <c r="C361" s="269"/>
      <c r="D361" s="269"/>
      <c r="E361" s="269"/>
      <c r="F361" s="269"/>
      <c r="G361" s="269"/>
      <c r="H361" s="269"/>
      <c r="I361" s="269"/>
      <c r="J361" s="269"/>
      <c r="K361" s="269"/>
      <c r="L361" s="269"/>
      <c r="M361" s="269"/>
      <c r="N361" s="269"/>
      <c r="O361" s="269"/>
      <c r="P361" s="269"/>
      <c r="Q361" s="269"/>
      <c r="R361" s="269"/>
      <c r="S361" s="269"/>
      <c r="T361" s="269"/>
      <c r="U361" s="269"/>
      <c r="V361" s="269"/>
      <c r="W361" s="269"/>
      <c r="X361" s="269"/>
      <c r="Y361" s="269"/>
      <c r="Z361" s="269"/>
      <c r="AA361" s="269"/>
      <c r="AB361" s="269"/>
      <c r="AC361" s="269"/>
      <c r="AD361" s="269"/>
      <c r="AE361" s="269"/>
      <c r="AF361" s="269"/>
      <c r="AG361" s="269"/>
      <c r="AH361" s="269"/>
      <c r="AI361" s="269"/>
      <c r="AJ361" s="269"/>
      <c r="AK361" s="269"/>
      <c r="AL361" s="269"/>
      <c r="AM361" s="269"/>
      <c r="AN361" s="269"/>
      <c r="AO361" s="269"/>
      <c r="AP361" s="269"/>
      <c r="AQ361" s="269"/>
      <c r="AR361" s="269"/>
    </row>
    <row r="362" spans="1:44">
      <c r="A362" s="269"/>
      <c r="B362" s="269"/>
      <c r="C362" s="269"/>
      <c r="D362" s="269"/>
      <c r="E362" s="269"/>
      <c r="F362" s="269"/>
      <c r="G362" s="269"/>
      <c r="H362" s="269"/>
      <c r="I362" s="269"/>
      <c r="J362" s="269"/>
      <c r="K362" s="269"/>
      <c r="L362" s="269"/>
      <c r="M362" s="269"/>
      <c r="N362" s="269"/>
      <c r="O362" s="269"/>
      <c r="P362" s="269"/>
      <c r="Q362" s="269"/>
      <c r="R362" s="269"/>
      <c r="S362" s="269"/>
      <c r="T362" s="269"/>
      <c r="U362" s="269"/>
      <c r="V362" s="269"/>
      <c r="W362" s="269"/>
      <c r="X362" s="269"/>
      <c r="Y362" s="269"/>
      <c r="Z362" s="269"/>
      <c r="AA362" s="269"/>
      <c r="AB362" s="269"/>
      <c r="AC362" s="269"/>
      <c r="AD362" s="269"/>
      <c r="AE362" s="269"/>
      <c r="AF362" s="269"/>
      <c r="AG362" s="269"/>
      <c r="AH362" s="269"/>
      <c r="AI362" s="269"/>
      <c r="AJ362" s="269"/>
      <c r="AK362" s="269"/>
      <c r="AL362" s="269"/>
      <c r="AM362" s="269"/>
      <c r="AN362" s="269"/>
      <c r="AO362" s="269"/>
      <c r="AP362" s="269"/>
      <c r="AQ362" s="269"/>
      <c r="AR362" s="269"/>
    </row>
    <row r="363" spans="1:44">
      <c r="A363" s="269"/>
      <c r="B363" s="269"/>
      <c r="C363" s="269"/>
      <c r="D363" s="269"/>
      <c r="E363" s="269"/>
      <c r="F363" s="269"/>
      <c r="G363" s="269"/>
      <c r="H363" s="269"/>
      <c r="I363" s="269"/>
      <c r="J363" s="269"/>
      <c r="K363" s="269"/>
      <c r="L363" s="269"/>
      <c r="M363" s="269"/>
      <c r="N363" s="269"/>
      <c r="O363" s="269"/>
      <c r="P363" s="269"/>
      <c r="Q363" s="269"/>
      <c r="R363" s="269"/>
      <c r="S363" s="269"/>
      <c r="T363" s="269"/>
      <c r="U363" s="269"/>
      <c r="V363" s="269"/>
      <c r="W363" s="269"/>
      <c r="X363" s="269"/>
      <c r="Y363" s="269"/>
      <c r="Z363" s="269"/>
      <c r="AA363" s="269"/>
      <c r="AB363" s="269"/>
      <c r="AC363" s="269"/>
      <c r="AD363" s="269"/>
      <c r="AE363" s="269"/>
      <c r="AF363" s="269"/>
      <c r="AG363" s="269"/>
      <c r="AH363" s="269"/>
      <c r="AI363" s="269"/>
      <c r="AJ363" s="269"/>
      <c r="AK363" s="269"/>
      <c r="AL363" s="269"/>
      <c r="AM363" s="269"/>
      <c r="AN363" s="269"/>
      <c r="AO363" s="269"/>
      <c r="AP363" s="269"/>
      <c r="AQ363" s="269"/>
      <c r="AR363" s="269"/>
    </row>
    <row r="364" spans="1:44">
      <c r="A364" s="269"/>
      <c r="B364" s="269"/>
      <c r="C364" s="269"/>
      <c r="D364" s="269"/>
      <c r="E364" s="269"/>
      <c r="F364" s="269"/>
      <c r="G364" s="269"/>
      <c r="H364" s="269"/>
      <c r="I364" s="269"/>
      <c r="J364" s="269"/>
      <c r="K364" s="269"/>
      <c r="L364" s="269"/>
      <c r="M364" s="269"/>
      <c r="N364" s="269"/>
      <c r="O364" s="269"/>
      <c r="P364" s="269"/>
      <c r="Q364" s="269"/>
      <c r="R364" s="269"/>
      <c r="S364" s="269"/>
      <c r="T364" s="269"/>
      <c r="U364" s="269"/>
      <c r="V364" s="269"/>
      <c r="W364" s="269"/>
      <c r="X364" s="269"/>
      <c r="Y364" s="269"/>
      <c r="Z364" s="269"/>
      <c r="AA364" s="269"/>
      <c r="AB364" s="269"/>
      <c r="AC364" s="269"/>
      <c r="AD364" s="269"/>
      <c r="AE364" s="269"/>
      <c r="AF364" s="269"/>
      <c r="AG364" s="269"/>
      <c r="AH364" s="269"/>
      <c r="AI364" s="269"/>
      <c r="AJ364" s="269"/>
      <c r="AK364" s="269"/>
      <c r="AL364" s="269"/>
      <c r="AM364" s="269"/>
      <c r="AN364" s="269"/>
      <c r="AO364" s="269"/>
      <c r="AP364" s="269"/>
      <c r="AQ364" s="269"/>
      <c r="AR364" s="269"/>
    </row>
    <row r="365" spans="1:44">
      <c r="A365" s="269"/>
      <c r="B365" s="269"/>
      <c r="C365" s="269"/>
      <c r="D365" s="269"/>
      <c r="E365" s="269"/>
      <c r="F365" s="269"/>
      <c r="G365" s="269"/>
      <c r="H365" s="269"/>
      <c r="I365" s="269"/>
      <c r="J365" s="269"/>
      <c r="K365" s="269"/>
      <c r="L365" s="269"/>
      <c r="M365" s="269"/>
      <c r="N365" s="269"/>
      <c r="O365" s="269"/>
      <c r="P365" s="269"/>
      <c r="Q365" s="269"/>
      <c r="R365" s="269"/>
      <c r="S365" s="269"/>
      <c r="T365" s="269"/>
      <c r="U365" s="269"/>
      <c r="V365" s="269"/>
      <c r="W365" s="269"/>
      <c r="X365" s="269"/>
      <c r="Y365" s="269"/>
      <c r="Z365" s="269"/>
      <c r="AA365" s="269"/>
      <c r="AB365" s="269"/>
      <c r="AC365" s="269"/>
      <c r="AD365" s="269"/>
      <c r="AE365" s="269"/>
      <c r="AF365" s="269"/>
      <c r="AG365" s="269"/>
      <c r="AH365" s="269"/>
      <c r="AI365" s="269"/>
      <c r="AJ365" s="269"/>
      <c r="AK365" s="269"/>
      <c r="AL365" s="269"/>
      <c r="AM365" s="269"/>
      <c r="AN365" s="269"/>
      <c r="AO365" s="269"/>
      <c r="AP365" s="269"/>
      <c r="AQ365" s="269"/>
      <c r="AR365" s="269"/>
    </row>
    <row r="366" spans="1:44">
      <c r="A366" s="269"/>
      <c r="B366" s="269"/>
      <c r="C366" s="269"/>
      <c r="D366" s="269"/>
      <c r="E366" s="269"/>
      <c r="F366" s="269"/>
      <c r="G366" s="269"/>
      <c r="H366" s="269"/>
      <c r="I366" s="269"/>
      <c r="J366" s="269"/>
      <c r="K366" s="269"/>
      <c r="L366" s="269"/>
      <c r="M366" s="269"/>
      <c r="N366" s="269"/>
      <c r="O366" s="269"/>
      <c r="P366" s="269"/>
      <c r="Q366" s="269"/>
      <c r="R366" s="269"/>
      <c r="S366" s="269"/>
      <c r="T366" s="269"/>
      <c r="U366" s="269"/>
      <c r="V366" s="269"/>
      <c r="W366" s="269"/>
      <c r="X366" s="269"/>
      <c r="Y366" s="269"/>
      <c r="Z366" s="269"/>
      <c r="AA366" s="269"/>
      <c r="AB366" s="269"/>
      <c r="AC366" s="269"/>
      <c r="AD366" s="269"/>
      <c r="AE366" s="269"/>
      <c r="AF366" s="269"/>
      <c r="AG366" s="269"/>
      <c r="AH366" s="269"/>
      <c r="AI366" s="269"/>
      <c r="AJ366" s="269"/>
      <c r="AK366" s="269"/>
      <c r="AL366" s="269"/>
      <c r="AM366" s="269"/>
      <c r="AN366" s="269"/>
      <c r="AO366" s="269"/>
      <c r="AP366" s="269"/>
      <c r="AQ366" s="269"/>
      <c r="AR366" s="269"/>
    </row>
    <row r="367" spans="1:44">
      <c r="A367" s="269"/>
      <c r="B367" s="269"/>
      <c r="C367" s="269"/>
      <c r="D367" s="269"/>
      <c r="E367" s="269"/>
      <c r="F367" s="269"/>
      <c r="G367" s="269"/>
      <c r="H367" s="269"/>
      <c r="I367" s="269"/>
      <c r="J367" s="269"/>
      <c r="K367" s="269"/>
      <c r="L367" s="269"/>
      <c r="M367" s="269"/>
      <c r="N367" s="269"/>
      <c r="O367" s="269"/>
      <c r="P367" s="269"/>
      <c r="Q367" s="269"/>
      <c r="R367" s="269"/>
      <c r="S367" s="269"/>
      <c r="T367" s="269"/>
      <c r="U367" s="269"/>
      <c r="V367" s="269"/>
      <c r="W367" s="269"/>
      <c r="X367" s="269"/>
      <c r="Y367" s="269"/>
      <c r="Z367" s="269"/>
      <c r="AA367" s="269"/>
      <c r="AB367" s="269"/>
      <c r="AC367" s="269"/>
      <c r="AD367" s="269"/>
      <c r="AE367" s="269"/>
      <c r="AF367" s="269"/>
      <c r="AG367" s="269"/>
      <c r="AH367" s="269"/>
      <c r="AI367" s="269"/>
      <c r="AJ367" s="269"/>
      <c r="AK367" s="269"/>
      <c r="AL367" s="269"/>
      <c r="AM367" s="269"/>
      <c r="AN367" s="269"/>
      <c r="AO367" s="269"/>
      <c r="AP367" s="269"/>
      <c r="AQ367" s="269"/>
      <c r="AR367" s="269"/>
    </row>
    <row r="368" spans="1:44">
      <c r="A368" s="269"/>
      <c r="B368" s="269"/>
      <c r="C368" s="269"/>
      <c r="D368" s="269"/>
      <c r="E368" s="269"/>
      <c r="F368" s="269"/>
      <c r="G368" s="269"/>
      <c r="H368" s="269"/>
      <c r="I368" s="269"/>
      <c r="J368" s="269"/>
      <c r="K368" s="269"/>
      <c r="L368" s="269"/>
      <c r="M368" s="269"/>
      <c r="N368" s="269"/>
      <c r="O368" s="269"/>
      <c r="P368" s="269"/>
      <c r="Q368" s="269"/>
      <c r="R368" s="269"/>
      <c r="S368" s="269"/>
      <c r="T368" s="269"/>
      <c r="U368" s="269"/>
      <c r="V368" s="269"/>
      <c r="W368" s="269"/>
      <c r="X368" s="269"/>
      <c r="Y368" s="269"/>
      <c r="Z368" s="269"/>
      <c r="AA368" s="269"/>
      <c r="AB368" s="269"/>
      <c r="AC368" s="269"/>
      <c r="AD368" s="269"/>
      <c r="AE368" s="269"/>
      <c r="AF368" s="269"/>
      <c r="AG368" s="269"/>
      <c r="AH368" s="269"/>
      <c r="AI368" s="269"/>
      <c r="AJ368" s="269"/>
      <c r="AK368" s="269"/>
      <c r="AL368" s="269"/>
      <c r="AM368" s="269"/>
      <c r="AN368" s="269"/>
      <c r="AO368" s="269"/>
      <c r="AP368" s="269"/>
      <c r="AQ368" s="269"/>
      <c r="AR368" s="269"/>
    </row>
    <row r="369" spans="1:44">
      <c r="A369" s="269"/>
      <c r="B369" s="269"/>
      <c r="C369" s="269"/>
      <c r="D369" s="269"/>
      <c r="E369" s="269"/>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row>
    <row r="370" spans="1:44">
      <c r="A370" s="269"/>
      <c r="B370" s="269"/>
      <c r="C370" s="269"/>
      <c r="D370" s="269"/>
      <c r="E370" s="269"/>
      <c r="F370" s="269"/>
      <c r="G370" s="269"/>
      <c r="H370" s="269"/>
      <c r="I370" s="269"/>
      <c r="J370" s="269"/>
      <c r="K370" s="269"/>
      <c r="L370" s="269"/>
      <c r="M370" s="269"/>
      <c r="N370" s="269"/>
      <c r="O370" s="269"/>
      <c r="P370" s="269"/>
      <c r="Q370" s="269"/>
      <c r="R370" s="269"/>
      <c r="S370" s="269"/>
      <c r="T370" s="269"/>
      <c r="U370" s="269"/>
      <c r="V370" s="269"/>
      <c r="W370" s="269"/>
      <c r="X370" s="269"/>
      <c r="Y370" s="269"/>
      <c r="Z370" s="269"/>
      <c r="AA370" s="269"/>
      <c r="AB370" s="269"/>
      <c r="AC370" s="269"/>
      <c r="AD370" s="269"/>
      <c r="AE370" s="269"/>
      <c r="AF370" s="269"/>
      <c r="AG370" s="269"/>
      <c r="AH370" s="269"/>
      <c r="AI370" s="269"/>
      <c r="AJ370" s="269"/>
      <c r="AK370" s="269"/>
      <c r="AL370" s="269"/>
      <c r="AM370" s="269"/>
      <c r="AN370" s="269"/>
      <c r="AO370" s="269"/>
      <c r="AP370" s="269"/>
      <c r="AQ370" s="269"/>
      <c r="AR370" s="269"/>
    </row>
    <row r="371" spans="1:44">
      <c r="A371" s="269"/>
      <c r="B371" s="269"/>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row>
    <row r="372" spans="1:44">
      <c r="A372" s="269"/>
      <c r="B372" s="269"/>
      <c r="C372" s="269"/>
      <c r="D372" s="269"/>
      <c r="E372" s="269"/>
      <c r="F372" s="269"/>
      <c r="G372" s="269"/>
      <c r="H372" s="269"/>
      <c r="I372" s="269"/>
      <c r="J372" s="269"/>
      <c r="K372" s="269"/>
      <c r="L372" s="269"/>
      <c r="M372" s="269"/>
      <c r="N372" s="269"/>
      <c r="O372" s="269"/>
      <c r="P372" s="269"/>
      <c r="Q372" s="269"/>
      <c r="R372" s="269"/>
      <c r="S372" s="269"/>
      <c r="T372" s="269"/>
      <c r="U372" s="269"/>
      <c r="V372" s="269"/>
      <c r="W372" s="269"/>
      <c r="X372" s="269"/>
      <c r="Y372" s="269"/>
      <c r="Z372" s="269"/>
      <c r="AA372" s="269"/>
      <c r="AB372" s="269"/>
      <c r="AC372" s="269"/>
      <c r="AD372" s="269"/>
      <c r="AE372" s="269"/>
      <c r="AF372" s="269"/>
      <c r="AG372" s="269"/>
      <c r="AH372" s="269"/>
      <c r="AI372" s="269"/>
      <c r="AJ372" s="269"/>
      <c r="AK372" s="269"/>
      <c r="AL372" s="269"/>
      <c r="AM372" s="269"/>
      <c r="AN372" s="269"/>
      <c r="AO372" s="269"/>
      <c r="AP372" s="269"/>
      <c r="AQ372" s="269"/>
      <c r="AR372" s="269"/>
    </row>
    <row r="373" spans="1:44">
      <c r="A373" s="269"/>
      <c r="B373" s="269"/>
      <c r="C373" s="269"/>
      <c r="D373" s="269"/>
      <c r="E373" s="269"/>
      <c r="F373" s="269"/>
      <c r="G373" s="269"/>
      <c r="H373" s="269"/>
      <c r="I373" s="269"/>
      <c r="J373" s="269"/>
      <c r="K373" s="269"/>
      <c r="L373" s="269"/>
      <c r="M373" s="269"/>
      <c r="N373" s="269"/>
      <c r="O373" s="269"/>
      <c r="P373" s="269"/>
      <c r="Q373" s="269"/>
      <c r="R373" s="269"/>
      <c r="S373" s="269"/>
      <c r="T373" s="269"/>
      <c r="U373" s="269"/>
      <c r="V373" s="269"/>
      <c r="W373" s="269"/>
      <c r="X373" s="269"/>
      <c r="Y373" s="269"/>
      <c r="Z373" s="269"/>
      <c r="AA373" s="269"/>
      <c r="AB373" s="269"/>
      <c r="AC373" s="269"/>
      <c r="AD373" s="269"/>
      <c r="AE373" s="269"/>
      <c r="AF373" s="269"/>
      <c r="AG373" s="269"/>
      <c r="AH373" s="269"/>
      <c r="AI373" s="269"/>
      <c r="AJ373" s="269"/>
      <c r="AK373" s="269"/>
      <c r="AL373" s="269"/>
      <c r="AM373" s="269"/>
      <c r="AN373" s="269"/>
      <c r="AO373" s="269"/>
      <c r="AP373" s="269"/>
      <c r="AQ373" s="269"/>
      <c r="AR373" s="269"/>
    </row>
    <row r="374" spans="1:44">
      <c r="A374" s="269"/>
      <c r="B374" s="269"/>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c r="Y374" s="269"/>
      <c r="Z374" s="269"/>
      <c r="AA374" s="269"/>
      <c r="AB374" s="269"/>
      <c r="AC374" s="269"/>
      <c r="AD374" s="269"/>
      <c r="AE374" s="269"/>
      <c r="AF374" s="269"/>
      <c r="AG374" s="269"/>
      <c r="AH374" s="269"/>
      <c r="AI374" s="269"/>
      <c r="AJ374" s="269"/>
      <c r="AK374" s="269"/>
      <c r="AL374" s="269"/>
      <c r="AM374" s="269"/>
      <c r="AN374" s="269"/>
      <c r="AO374" s="269"/>
      <c r="AP374" s="269"/>
      <c r="AQ374" s="269"/>
      <c r="AR374" s="269"/>
    </row>
    <row r="375" spans="1:44">
      <c r="A375" s="269"/>
      <c r="B375" s="269"/>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c r="AA375" s="269"/>
      <c r="AB375" s="269"/>
      <c r="AC375" s="269"/>
      <c r="AD375" s="269"/>
      <c r="AE375" s="269"/>
      <c r="AF375" s="269"/>
      <c r="AG375" s="269"/>
      <c r="AH375" s="269"/>
      <c r="AI375" s="269"/>
      <c r="AJ375" s="269"/>
      <c r="AK375" s="269"/>
      <c r="AL375" s="269"/>
      <c r="AM375" s="269"/>
      <c r="AN375" s="269"/>
      <c r="AO375" s="269"/>
      <c r="AP375" s="269"/>
      <c r="AQ375" s="269"/>
      <c r="AR375" s="269"/>
    </row>
    <row r="376" spans="1:44">
      <c r="A376" s="269"/>
      <c r="B376" s="269"/>
      <c r="C376" s="269"/>
      <c r="D376" s="269"/>
      <c r="E376" s="269"/>
      <c r="F376" s="269"/>
      <c r="G376" s="269"/>
      <c r="H376" s="269"/>
      <c r="I376" s="269"/>
      <c r="J376" s="269"/>
      <c r="K376" s="269"/>
      <c r="L376" s="269"/>
      <c r="M376" s="269"/>
      <c r="N376" s="269"/>
      <c r="O376" s="269"/>
      <c r="P376" s="269"/>
      <c r="Q376" s="269"/>
      <c r="R376" s="269"/>
      <c r="S376" s="269"/>
      <c r="T376" s="269"/>
      <c r="U376" s="269"/>
      <c r="V376" s="269"/>
      <c r="W376" s="269"/>
      <c r="X376" s="269"/>
      <c r="Y376" s="269"/>
      <c r="Z376" s="269"/>
      <c r="AA376" s="269"/>
      <c r="AB376" s="269"/>
      <c r="AC376" s="269"/>
      <c r="AD376" s="269"/>
      <c r="AE376" s="269"/>
      <c r="AF376" s="269"/>
      <c r="AG376" s="269"/>
      <c r="AH376" s="269"/>
      <c r="AI376" s="269"/>
      <c r="AJ376" s="269"/>
      <c r="AK376" s="269"/>
      <c r="AL376" s="269"/>
      <c r="AM376" s="269"/>
      <c r="AN376" s="269"/>
      <c r="AO376" s="269"/>
      <c r="AP376" s="269"/>
      <c r="AQ376" s="269"/>
      <c r="AR376" s="269"/>
    </row>
    <row r="377" spans="1:44">
      <c r="A377" s="269"/>
      <c r="B377" s="269"/>
      <c r="C377" s="269"/>
      <c r="D377" s="269"/>
      <c r="E377" s="269"/>
      <c r="F377" s="269"/>
      <c r="G377" s="269"/>
      <c r="H377" s="269"/>
      <c r="I377" s="269"/>
      <c r="J377" s="269"/>
      <c r="K377" s="269"/>
      <c r="L377" s="269"/>
      <c r="M377" s="269"/>
      <c r="N377" s="269"/>
      <c r="O377" s="269"/>
      <c r="P377" s="269"/>
      <c r="Q377" s="269"/>
      <c r="R377" s="269"/>
      <c r="S377" s="269"/>
      <c r="T377" s="269"/>
      <c r="U377" s="269"/>
      <c r="V377" s="269"/>
      <c r="W377" s="269"/>
      <c r="X377" s="269"/>
      <c r="Y377" s="269"/>
      <c r="Z377" s="269"/>
      <c r="AA377" s="269"/>
      <c r="AB377" s="269"/>
      <c r="AC377" s="269"/>
      <c r="AD377" s="269"/>
      <c r="AE377" s="269"/>
      <c r="AF377" s="269"/>
      <c r="AG377" s="269"/>
      <c r="AH377" s="269"/>
      <c r="AI377" s="269"/>
      <c r="AJ377" s="269"/>
      <c r="AK377" s="269"/>
      <c r="AL377" s="269"/>
      <c r="AM377" s="269"/>
      <c r="AN377" s="269"/>
      <c r="AO377" s="269"/>
      <c r="AP377" s="269"/>
      <c r="AQ377" s="269"/>
      <c r="AR377" s="269"/>
    </row>
    <row r="378" spans="1:44">
      <c r="A378" s="269"/>
      <c r="B378" s="269"/>
      <c r="C378" s="269"/>
      <c r="D378" s="269"/>
      <c r="E378" s="269"/>
      <c r="F378" s="269"/>
      <c r="G378" s="269"/>
      <c r="H378" s="269"/>
      <c r="I378" s="269"/>
      <c r="J378" s="269"/>
      <c r="K378" s="269"/>
      <c r="L378" s="269"/>
      <c r="M378" s="269"/>
      <c r="N378" s="269"/>
      <c r="O378" s="269"/>
      <c r="P378" s="269"/>
      <c r="Q378" s="269"/>
      <c r="R378" s="269"/>
      <c r="S378" s="269"/>
      <c r="T378" s="269"/>
      <c r="U378" s="269"/>
      <c r="V378" s="269"/>
      <c r="W378" s="269"/>
      <c r="X378" s="269"/>
      <c r="Y378" s="269"/>
      <c r="Z378" s="269"/>
      <c r="AA378" s="269"/>
      <c r="AB378" s="269"/>
      <c r="AC378" s="269"/>
      <c r="AD378" s="269"/>
      <c r="AE378" s="269"/>
      <c r="AF378" s="269"/>
      <c r="AG378" s="269"/>
      <c r="AH378" s="269"/>
      <c r="AI378" s="269"/>
      <c r="AJ378" s="269"/>
      <c r="AK378" s="269"/>
      <c r="AL378" s="269"/>
      <c r="AM378" s="269"/>
      <c r="AN378" s="269"/>
      <c r="AO378" s="269"/>
      <c r="AP378" s="269"/>
      <c r="AQ378" s="269"/>
      <c r="AR378" s="269"/>
    </row>
    <row r="379" spans="1:44">
      <c r="A379" s="269"/>
      <c r="B379" s="269"/>
      <c r="C379" s="269"/>
      <c r="D379" s="269"/>
      <c r="E379" s="269"/>
      <c r="F379" s="269"/>
      <c r="G379" s="269"/>
      <c r="H379" s="269"/>
      <c r="I379" s="269"/>
      <c r="J379" s="269"/>
      <c r="K379" s="269"/>
      <c r="L379" s="269"/>
      <c r="M379" s="269"/>
      <c r="N379" s="269"/>
      <c r="O379" s="269"/>
      <c r="P379" s="269"/>
      <c r="Q379" s="269"/>
      <c r="R379" s="269"/>
      <c r="S379" s="269"/>
      <c r="T379" s="269"/>
      <c r="U379" s="269"/>
      <c r="V379" s="269"/>
      <c r="W379" s="269"/>
      <c r="X379" s="269"/>
      <c r="Y379" s="269"/>
      <c r="Z379" s="269"/>
      <c r="AA379" s="269"/>
      <c r="AB379" s="269"/>
      <c r="AC379" s="269"/>
      <c r="AD379" s="269"/>
      <c r="AE379" s="269"/>
      <c r="AF379" s="269"/>
      <c r="AG379" s="269"/>
      <c r="AH379" s="269"/>
      <c r="AI379" s="269"/>
      <c r="AJ379" s="269"/>
      <c r="AK379" s="269"/>
      <c r="AL379" s="269"/>
      <c r="AM379" s="269"/>
      <c r="AN379" s="269"/>
      <c r="AO379" s="269"/>
      <c r="AP379" s="269"/>
      <c r="AQ379" s="269"/>
      <c r="AR379" s="269"/>
    </row>
    <row r="380" spans="1:44">
      <c r="A380" s="269"/>
      <c r="B380" s="269"/>
      <c r="C380" s="269"/>
      <c r="D380" s="269"/>
      <c r="E380" s="269"/>
      <c r="F380" s="269"/>
      <c r="G380" s="269"/>
      <c r="H380" s="269"/>
      <c r="I380" s="269"/>
      <c r="J380" s="269"/>
      <c r="K380" s="269"/>
      <c r="L380" s="269"/>
      <c r="M380" s="269"/>
      <c r="N380" s="269"/>
      <c r="O380" s="269"/>
      <c r="P380" s="269"/>
      <c r="Q380" s="269"/>
      <c r="R380" s="269"/>
      <c r="S380" s="269"/>
      <c r="T380" s="269"/>
      <c r="U380" s="269"/>
      <c r="V380" s="269"/>
      <c r="W380" s="269"/>
      <c r="X380" s="269"/>
      <c r="Y380" s="269"/>
      <c r="Z380" s="269"/>
      <c r="AA380" s="269"/>
      <c r="AB380" s="269"/>
      <c r="AC380" s="269"/>
      <c r="AD380" s="269"/>
      <c r="AE380" s="269"/>
      <c r="AF380" s="269"/>
      <c r="AG380" s="269"/>
      <c r="AH380" s="269"/>
      <c r="AI380" s="269"/>
      <c r="AJ380" s="269"/>
      <c r="AK380" s="269"/>
      <c r="AL380" s="269"/>
      <c r="AM380" s="269"/>
      <c r="AN380" s="269"/>
      <c r="AO380" s="269"/>
      <c r="AP380" s="269"/>
      <c r="AQ380" s="269"/>
      <c r="AR380" s="269"/>
    </row>
    <row r="381" spans="1:44">
      <c r="A381" s="269"/>
      <c r="B381" s="269"/>
      <c r="C381" s="269"/>
      <c r="D381" s="269"/>
      <c r="E381" s="269"/>
      <c r="F381" s="269"/>
      <c r="G381" s="269"/>
      <c r="H381" s="269"/>
      <c r="I381" s="269"/>
      <c r="J381" s="269"/>
      <c r="K381" s="269"/>
      <c r="L381" s="269"/>
      <c r="M381" s="269"/>
      <c r="N381" s="269"/>
      <c r="O381" s="269"/>
      <c r="P381" s="269"/>
      <c r="Q381" s="269"/>
      <c r="R381" s="269"/>
      <c r="S381" s="269"/>
      <c r="T381" s="269"/>
      <c r="U381" s="269"/>
      <c r="V381" s="269"/>
      <c r="W381" s="269"/>
      <c r="X381" s="269"/>
      <c r="Y381" s="269"/>
      <c r="Z381" s="269"/>
      <c r="AA381" s="269"/>
      <c r="AB381" s="269"/>
      <c r="AC381" s="269"/>
      <c r="AD381" s="269"/>
      <c r="AE381" s="269"/>
      <c r="AF381" s="269"/>
      <c r="AG381" s="269"/>
      <c r="AH381" s="269"/>
      <c r="AI381" s="269"/>
      <c r="AJ381" s="269"/>
      <c r="AK381" s="269"/>
      <c r="AL381" s="269"/>
      <c r="AM381" s="269"/>
      <c r="AN381" s="269"/>
      <c r="AO381" s="269"/>
      <c r="AP381" s="269"/>
      <c r="AQ381" s="269"/>
      <c r="AR381" s="269"/>
    </row>
    <row r="382" spans="1:44">
      <c r="A382" s="269"/>
      <c r="B382" s="269"/>
      <c r="C382" s="269"/>
      <c r="D382" s="269"/>
      <c r="E382" s="269"/>
      <c r="F382" s="269"/>
      <c r="G382" s="269"/>
      <c r="H382" s="269"/>
      <c r="I382" s="269"/>
      <c r="J382" s="269"/>
      <c r="K382" s="269"/>
      <c r="L382" s="269"/>
      <c r="M382" s="269"/>
      <c r="N382" s="269"/>
      <c r="O382" s="269"/>
      <c r="P382" s="269"/>
      <c r="Q382" s="269"/>
      <c r="R382" s="269"/>
      <c r="S382" s="269"/>
      <c r="T382" s="269"/>
      <c r="U382" s="269"/>
      <c r="V382" s="269"/>
      <c r="W382" s="269"/>
      <c r="X382" s="269"/>
      <c r="Y382" s="269"/>
      <c r="Z382" s="269"/>
      <c r="AA382" s="269"/>
      <c r="AB382" s="269"/>
      <c r="AC382" s="269"/>
      <c r="AD382" s="269"/>
      <c r="AE382" s="269"/>
      <c r="AF382" s="269"/>
      <c r="AG382" s="269"/>
      <c r="AH382" s="269"/>
      <c r="AI382" s="269"/>
      <c r="AJ382" s="269"/>
      <c r="AK382" s="269"/>
      <c r="AL382" s="269"/>
      <c r="AM382" s="269"/>
      <c r="AN382" s="269"/>
      <c r="AO382" s="269"/>
      <c r="AP382" s="269"/>
      <c r="AQ382" s="269"/>
      <c r="AR382" s="269"/>
    </row>
    <row r="383" spans="1:44">
      <c r="A383" s="269"/>
      <c r="B383" s="269"/>
      <c r="C383" s="269"/>
      <c r="D383" s="269"/>
      <c r="E383" s="269"/>
      <c r="F383" s="269"/>
      <c r="G383" s="269"/>
      <c r="H383" s="269"/>
      <c r="I383" s="269"/>
      <c r="J383" s="269"/>
      <c r="K383" s="269"/>
      <c r="L383" s="269"/>
      <c r="M383" s="269"/>
      <c r="N383" s="269"/>
      <c r="O383" s="269"/>
      <c r="P383" s="269"/>
      <c r="Q383" s="269"/>
      <c r="R383" s="269"/>
      <c r="S383" s="269"/>
      <c r="T383" s="269"/>
      <c r="U383" s="269"/>
      <c r="V383" s="269"/>
      <c r="W383" s="269"/>
      <c r="X383" s="269"/>
      <c r="Y383" s="269"/>
      <c r="Z383" s="269"/>
      <c r="AA383" s="269"/>
      <c r="AB383" s="269"/>
      <c r="AC383" s="269"/>
      <c r="AD383" s="269"/>
      <c r="AE383" s="269"/>
      <c r="AF383" s="269"/>
      <c r="AG383" s="269"/>
      <c r="AH383" s="269"/>
      <c r="AI383" s="269"/>
      <c r="AJ383" s="269"/>
      <c r="AK383" s="269"/>
      <c r="AL383" s="269"/>
      <c r="AM383" s="269"/>
      <c r="AN383" s="269"/>
      <c r="AO383" s="269"/>
      <c r="AP383" s="269"/>
      <c r="AQ383" s="269"/>
      <c r="AR383" s="269"/>
    </row>
    <row r="384" spans="1:44">
      <c r="A384" s="269"/>
      <c r="B384" s="269"/>
      <c r="C384" s="269"/>
      <c r="D384" s="269"/>
      <c r="E384" s="269"/>
      <c r="F384" s="269"/>
      <c r="G384" s="269"/>
      <c r="H384" s="269"/>
      <c r="I384" s="269"/>
      <c r="J384" s="269"/>
      <c r="K384" s="269"/>
      <c r="L384" s="269"/>
      <c r="M384" s="269"/>
      <c r="N384" s="269"/>
      <c r="O384" s="269"/>
      <c r="P384" s="269"/>
      <c r="Q384" s="269"/>
      <c r="R384" s="269"/>
      <c r="S384" s="269"/>
      <c r="T384" s="269"/>
      <c r="U384" s="269"/>
      <c r="V384" s="269"/>
      <c r="W384" s="269"/>
      <c r="X384" s="269"/>
      <c r="Y384" s="269"/>
      <c r="Z384" s="269"/>
      <c r="AA384" s="269"/>
      <c r="AB384" s="269"/>
      <c r="AC384" s="269"/>
      <c r="AD384" s="269"/>
      <c r="AE384" s="269"/>
      <c r="AF384" s="269"/>
      <c r="AG384" s="269"/>
      <c r="AH384" s="269"/>
      <c r="AI384" s="269"/>
      <c r="AJ384" s="269"/>
      <c r="AK384" s="269"/>
      <c r="AL384" s="269"/>
      <c r="AM384" s="269"/>
      <c r="AN384" s="269"/>
      <c r="AO384" s="269"/>
      <c r="AP384" s="269"/>
      <c r="AQ384" s="269"/>
      <c r="AR384" s="269"/>
    </row>
    <row r="385" spans="1:44">
      <c r="A385" s="269"/>
      <c r="B385" s="269"/>
      <c r="C385" s="269"/>
      <c r="D385" s="269"/>
      <c r="E385" s="269"/>
      <c r="F385" s="269"/>
      <c r="G385" s="269"/>
      <c r="H385" s="269"/>
      <c r="I385" s="269"/>
      <c r="J385" s="269"/>
      <c r="K385" s="269"/>
      <c r="L385" s="269"/>
      <c r="M385" s="269"/>
      <c r="N385" s="269"/>
      <c r="O385" s="269"/>
      <c r="P385" s="269"/>
      <c r="Q385" s="269"/>
      <c r="R385" s="269"/>
      <c r="S385" s="269"/>
      <c r="T385" s="269"/>
      <c r="U385" s="269"/>
      <c r="V385" s="269"/>
      <c r="W385" s="269"/>
      <c r="X385" s="269"/>
      <c r="Y385" s="269"/>
      <c r="Z385" s="269"/>
      <c r="AA385" s="269"/>
      <c r="AB385" s="269"/>
      <c r="AC385" s="269"/>
      <c r="AD385" s="269"/>
      <c r="AE385" s="269"/>
      <c r="AF385" s="269"/>
      <c r="AG385" s="269"/>
      <c r="AH385" s="269"/>
      <c r="AI385" s="269"/>
      <c r="AJ385" s="269"/>
      <c r="AK385" s="269"/>
      <c r="AL385" s="269"/>
      <c r="AM385" s="269"/>
      <c r="AN385" s="269"/>
      <c r="AO385" s="269"/>
      <c r="AP385" s="269"/>
      <c r="AQ385" s="269"/>
      <c r="AR385" s="269"/>
    </row>
    <row r="386" spans="1:44">
      <c r="A386" s="269"/>
      <c r="B386" s="269"/>
      <c r="C386" s="269"/>
      <c r="D386" s="269"/>
      <c r="E386" s="269"/>
      <c r="F386" s="269"/>
      <c r="G386" s="269"/>
      <c r="H386" s="269"/>
      <c r="I386" s="269"/>
      <c r="J386" s="269"/>
      <c r="K386" s="269"/>
      <c r="L386" s="269"/>
      <c r="M386" s="269"/>
      <c r="N386" s="269"/>
      <c r="O386" s="269"/>
      <c r="P386" s="269"/>
      <c r="Q386" s="269"/>
      <c r="R386" s="269"/>
      <c r="S386" s="269"/>
      <c r="T386" s="269"/>
      <c r="U386" s="269"/>
      <c r="V386" s="269"/>
      <c r="W386" s="269"/>
      <c r="X386" s="269"/>
      <c r="Y386" s="269"/>
      <c r="Z386" s="269"/>
      <c r="AA386" s="269"/>
      <c r="AB386" s="269"/>
      <c r="AC386" s="269"/>
      <c r="AD386" s="269"/>
      <c r="AE386" s="269"/>
      <c r="AF386" s="269"/>
      <c r="AG386" s="269"/>
      <c r="AH386" s="269"/>
      <c r="AI386" s="269"/>
      <c r="AJ386" s="269"/>
      <c r="AK386" s="269"/>
      <c r="AL386" s="269"/>
      <c r="AM386" s="269"/>
      <c r="AN386" s="269"/>
      <c r="AO386" s="269"/>
      <c r="AP386" s="269"/>
      <c r="AQ386" s="269"/>
      <c r="AR386" s="269"/>
    </row>
    <row r="387" spans="1:44">
      <c r="A387" s="269"/>
      <c r="B387" s="269"/>
      <c r="C387" s="269"/>
      <c r="D387" s="269"/>
      <c r="E387" s="269"/>
      <c r="F387" s="269"/>
      <c r="G387" s="269"/>
      <c r="H387" s="269"/>
      <c r="I387" s="269"/>
      <c r="J387" s="269"/>
      <c r="K387" s="269"/>
      <c r="L387" s="269"/>
      <c r="M387" s="269"/>
      <c r="N387" s="269"/>
      <c r="O387" s="269"/>
      <c r="P387" s="269"/>
      <c r="Q387" s="269"/>
      <c r="R387" s="269"/>
      <c r="S387" s="269"/>
      <c r="T387" s="269"/>
      <c r="U387" s="269"/>
      <c r="V387" s="269"/>
      <c r="W387" s="269"/>
      <c r="X387" s="269"/>
      <c r="Y387" s="269"/>
      <c r="Z387" s="269"/>
      <c r="AA387" s="269"/>
      <c r="AB387" s="269"/>
      <c r="AC387" s="269"/>
      <c r="AD387" s="269"/>
      <c r="AE387" s="269"/>
      <c r="AF387" s="269"/>
      <c r="AG387" s="269"/>
      <c r="AH387" s="269"/>
      <c r="AI387" s="269"/>
      <c r="AJ387" s="269"/>
      <c r="AK387" s="269"/>
      <c r="AL387" s="269"/>
      <c r="AM387" s="269"/>
      <c r="AN387" s="269"/>
      <c r="AO387" s="269"/>
      <c r="AP387" s="269"/>
      <c r="AQ387" s="269"/>
      <c r="AR387" s="269"/>
    </row>
    <row r="388" spans="1:44">
      <c r="A388" s="269"/>
      <c r="B388" s="269"/>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c r="AA388" s="269"/>
      <c r="AB388" s="269"/>
      <c r="AC388" s="269"/>
      <c r="AD388" s="269"/>
      <c r="AE388" s="269"/>
      <c r="AF388" s="269"/>
      <c r="AG388" s="269"/>
      <c r="AH388" s="269"/>
      <c r="AI388" s="269"/>
      <c r="AJ388" s="269"/>
      <c r="AK388" s="269"/>
      <c r="AL388" s="269"/>
      <c r="AM388" s="269"/>
      <c r="AN388" s="269"/>
      <c r="AO388" s="269"/>
      <c r="AP388" s="269"/>
      <c r="AQ388" s="269"/>
      <c r="AR388" s="269"/>
    </row>
    <row r="389" spans="1:44">
      <c r="A389" s="269"/>
      <c r="B389" s="269"/>
      <c r="C389" s="269"/>
      <c r="D389" s="269"/>
      <c r="E389" s="269"/>
      <c r="F389" s="269"/>
      <c r="G389" s="269"/>
      <c r="H389" s="269"/>
      <c r="I389" s="269"/>
      <c r="J389" s="269"/>
      <c r="K389" s="269"/>
      <c r="L389" s="269"/>
      <c r="M389" s="269"/>
      <c r="N389" s="269"/>
      <c r="O389" s="269"/>
      <c r="P389" s="269"/>
      <c r="Q389" s="269"/>
      <c r="R389" s="269"/>
      <c r="S389" s="269"/>
      <c r="T389" s="269"/>
      <c r="U389" s="269"/>
      <c r="V389" s="269"/>
      <c r="W389" s="269"/>
      <c r="X389" s="269"/>
      <c r="Y389" s="269"/>
      <c r="Z389" s="269"/>
      <c r="AA389" s="269"/>
      <c r="AB389" s="269"/>
      <c r="AC389" s="269"/>
      <c r="AD389" s="269"/>
      <c r="AE389" s="269"/>
      <c r="AF389" s="269"/>
      <c r="AG389" s="269"/>
      <c r="AH389" s="269"/>
      <c r="AI389" s="269"/>
      <c r="AJ389" s="269"/>
      <c r="AK389" s="269"/>
      <c r="AL389" s="269"/>
      <c r="AM389" s="269"/>
      <c r="AN389" s="269"/>
      <c r="AO389" s="269"/>
      <c r="AP389" s="269"/>
      <c r="AQ389" s="269"/>
      <c r="AR389" s="269"/>
    </row>
    <row r="390" spans="1:44">
      <c r="A390" s="269"/>
      <c r="B390" s="269"/>
      <c r="C390" s="269"/>
      <c r="D390" s="269"/>
      <c r="E390" s="269"/>
      <c r="F390" s="269"/>
      <c r="G390" s="269"/>
      <c r="H390" s="269"/>
      <c r="I390" s="269"/>
      <c r="J390" s="269"/>
      <c r="K390" s="269"/>
      <c r="L390" s="269"/>
      <c r="M390" s="269"/>
      <c r="N390" s="269"/>
      <c r="O390" s="269"/>
      <c r="P390" s="269"/>
      <c r="Q390" s="269"/>
      <c r="R390" s="269"/>
      <c r="S390" s="269"/>
      <c r="T390" s="269"/>
      <c r="U390" s="269"/>
      <c r="V390" s="269"/>
      <c r="W390" s="269"/>
      <c r="X390" s="269"/>
      <c r="Y390" s="269"/>
      <c r="Z390" s="269"/>
      <c r="AA390" s="269"/>
      <c r="AB390" s="269"/>
      <c r="AC390" s="269"/>
      <c r="AD390" s="269"/>
      <c r="AE390" s="269"/>
      <c r="AF390" s="269"/>
      <c r="AG390" s="269"/>
      <c r="AH390" s="269"/>
      <c r="AI390" s="269"/>
      <c r="AJ390" s="269"/>
      <c r="AK390" s="269"/>
      <c r="AL390" s="269"/>
      <c r="AM390" s="269"/>
      <c r="AN390" s="269"/>
      <c r="AO390" s="269"/>
      <c r="AP390" s="269"/>
      <c r="AQ390" s="269"/>
      <c r="AR390" s="269"/>
    </row>
    <row r="391" spans="1:44">
      <c r="A391" s="269"/>
      <c r="B391" s="269"/>
      <c r="C391" s="269"/>
      <c r="D391" s="269"/>
      <c r="E391" s="269"/>
      <c r="F391" s="269"/>
      <c r="G391" s="269"/>
      <c r="H391" s="269"/>
      <c r="I391" s="269"/>
      <c r="J391" s="269"/>
      <c r="K391" s="269"/>
      <c r="L391" s="269"/>
      <c r="M391" s="269"/>
      <c r="N391" s="269"/>
      <c r="O391" s="269"/>
      <c r="P391" s="269"/>
      <c r="Q391" s="269"/>
      <c r="R391" s="269"/>
      <c r="S391" s="269"/>
      <c r="T391" s="269"/>
      <c r="U391" s="269"/>
      <c r="V391" s="269"/>
      <c r="W391" s="269"/>
      <c r="X391" s="269"/>
      <c r="Y391" s="269"/>
      <c r="Z391" s="269"/>
      <c r="AA391" s="269"/>
      <c r="AB391" s="269"/>
      <c r="AC391" s="269"/>
      <c r="AD391" s="269"/>
      <c r="AE391" s="269"/>
      <c r="AF391" s="269"/>
      <c r="AG391" s="269"/>
      <c r="AH391" s="269"/>
      <c r="AI391" s="269"/>
      <c r="AJ391" s="269"/>
      <c r="AK391" s="269"/>
      <c r="AL391" s="269"/>
      <c r="AM391" s="269"/>
      <c r="AN391" s="269"/>
      <c r="AO391" s="269"/>
      <c r="AP391" s="269"/>
      <c r="AQ391" s="269"/>
      <c r="AR391" s="269"/>
    </row>
    <row r="392" spans="1:44">
      <c r="A392" s="269"/>
      <c r="B392" s="269"/>
      <c r="C392" s="269"/>
      <c r="D392" s="269"/>
      <c r="E392" s="269"/>
      <c r="F392" s="269"/>
      <c r="G392" s="269"/>
      <c r="H392" s="269"/>
      <c r="I392" s="269"/>
      <c r="J392" s="269"/>
      <c r="K392" s="269"/>
      <c r="L392" s="269"/>
      <c r="M392" s="269"/>
      <c r="N392" s="269"/>
      <c r="O392" s="269"/>
      <c r="P392" s="269"/>
      <c r="Q392" s="269"/>
      <c r="R392" s="269"/>
      <c r="S392" s="269"/>
      <c r="T392" s="269"/>
      <c r="U392" s="269"/>
      <c r="V392" s="269"/>
      <c r="W392" s="269"/>
      <c r="X392" s="269"/>
      <c r="Y392" s="269"/>
      <c r="Z392" s="269"/>
      <c r="AA392" s="269"/>
      <c r="AB392" s="269"/>
      <c r="AC392" s="269"/>
      <c r="AD392" s="269"/>
      <c r="AE392" s="269"/>
      <c r="AF392" s="269"/>
      <c r="AG392" s="269"/>
      <c r="AH392" s="269"/>
      <c r="AI392" s="269"/>
      <c r="AJ392" s="269"/>
      <c r="AK392" s="269"/>
      <c r="AL392" s="269"/>
      <c r="AM392" s="269"/>
      <c r="AN392" s="269"/>
      <c r="AO392" s="269"/>
      <c r="AP392" s="269"/>
      <c r="AQ392" s="269"/>
      <c r="AR392" s="269"/>
    </row>
    <row r="393" spans="1:44">
      <c r="A393" s="269"/>
      <c r="B393" s="269"/>
      <c r="C393" s="269"/>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c r="AA393" s="269"/>
      <c r="AB393" s="269"/>
      <c r="AC393" s="269"/>
      <c r="AD393" s="269"/>
      <c r="AE393" s="269"/>
      <c r="AF393" s="269"/>
      <c r="AG393" s="269"/>
      <c r="AH393" s="269"/>
      <c r="AI393" s="269"/>
      <c r="AJ393" s="269"/>
      <c r="AK393" s="269"/>
      <c r="AL393" s="269"/>
      <c r="AM393" s="269"/>
      <c r="AN393" s="269"/>
      <c r="AO393" s="269"/>
      <c r="AP393" s="269"/>
      <c r="AQ393" s="269"/>
      <c r="AR393" s="269"/>
    </row>
    <row r="394" spans="1:44">
      <c r="A394" s="269"/>
      <c r="B394" s="269"/>
      <c r="C394" s="269"/>
      <c r="D394" s="269"/>
      <c r="E394" s="269"/>
      <c r="F394" s="269"/>
      <c r="G394" s="269"/>
      <c r="H394" s="269"/>
      <c r="I394" s="269"/>
      <c r="J394" s="269"/>
      <c r="K394" s="269"/>
      <c r="L394" s="269"/>
      <c r="M394" s="269"/>
      <c r="N394" s="269"/>
      <c r="O394" s="269"/>
      <c r="P394" s="269"/>
      <c r="Q394" s="269"/>
      <c r="R394" s="269"/>
      <c r="S394" s="269"/>
      <c r="T394" s="269"/>
      <c r="U394" s="269"/>
      <c r="V394" s="269"/>
      <c r="W394" s="269"/>
      <c r="X394" s="269"/>
      <c r="Y394" s="269"/>
      <c r="Z394" s="269"/>
      <c r="AA394" s="269"/>
      <c r="AB394" s="269"/>
      <c r="AC394" s="269"/>
      <c r="AD394" s="269"/>
      <c r="AE394" s="269"/>
      <c r="AF394" s="269"/>
      <c r="AG394" s="269"/>
      <c r="AH394" s="269"/>
      <c r="AI394" s="269"/>
      <c r="AJ394" s="269"/>
      <c r="AK394" s="269"/>
      <c r="AL394" s="269"/>
      <c r="AM394" s="269"/>
      <c r="AN394" s="269"/>
      <c r="AO394" s="269"/>
      <c r="AP394" s="269"/>
      <c r="AQ394" s="269"/>
      <c r="AR394" s="269"/>
    </row>
    <row r="395" spans="1:44">
      <c r="A395" s="269"/>
      <c r="B395" s="269"/>
      <c r="C395" s="269"/>
      <c r="D395" s="269"/>
      <c r="E395" s="269"/>
      <c r="F395" s="269"/>
      <c r="G395" s="269"/>
      <c r="H395" s="269"/>
      <c r="I395" s="269"/>
      <c r="J395" s="269"/>
      <c r="K395" s="269"/>
      <c r="L395" s="269"/>
      <c r="M395" s="269"/>
      <c r="N395" s="269"/>
      <c r="O395" s="269"/>
      <c r="P395" s="269"/>
      <c r="Q395" s="269"/>
      <c r="R395" s="269"/>
      <c r="S395" s="269"/>
      <c r="T395" s="269"/>
      <c r="U395" s="269"/>
      <c r="V395" s="269"/>
      <c r="W395" s="269"/>
      <c r="X395" s="269"/>
      <c r="Y395" s="269"/>
      <c r="Z395" s="269"/>
      <c r="AA395" s="269"/>
      <c r="AB395" s="269"/>
      <c r="AC395" s="269"/>
      <c r="AD395" s="269"/>
      <c r="AE395" s="269"/>
      <c r="AF395" s="269"/>
      <c r="AG395" s="269"/>
      <c r="AH395" s="269"/>
      <c r="AI395" s="269"/>
      <c r="AJ395" s="269"/>
      <c r="AK395" s="269"/>
      <c r="AL395" s="269"/>
      <c r="AM395" s="269"/>
      <c r="AN395" s="269"/>
      <c r="AO395" s="269"/>
      <c r="AP395" s="269"/>
      <c r="AQ395" s="269"/>
      <c r="AR395" s="269"/>
    </row>
    <row r="396" spans="1:44">
      <c r="A396" s="269"/>
      <c r="B396" s="269"/>
      <c r="C396" s="269"/>
      <c r="D396" s="269"/>
      <c r="E396" s="269"/>
      <c r="F396" s="269"/>
      <c r="G396" s="269"/>
      <c r="H396" s="269"/>
      <c r="I396" s="269"/>
      <c r="J396" s="269"/>
      <c r="K396" s="269"/>
      <c r="L396" s="269"/>
      <c r="M396" s="269"/>
      <c r="N396" s="269"/>
      <c r="O396" s="269"/>
      <c r="P396" s="269"/>
      <c r="Q396" s="269"/>
      <c r="R396" s="269"/>
      <c r="S396" s="269"/>
      <c r="T396" s="269"/>
      <c r="U396" s="269"/>
      <c r="V396" s="269"/>
      <c r="W396" s="269"/>
      <c r="X396" s="269"/>
      <c r="Y396" s="269"/>
      <c r="Z396" s="269"/>
      <c r="AA396" s="269"/>
      <c r="AB396" s="269"/>
      <c r="AC396" s="269"/>
      <c r="AD396" s="269"/>
      <c r="AE396" s="269"/>
      <c r="AF396" s="269"/>
      <c r="AG396" s="269"/>
      <c r="AH396" s="269"/>
      <c r="AI396" s="269"/>
      <c r="AJ396" s="269"/>
      <c r="AK396" s="269"/>
      <c r="AL396" s="269"/>
      <c r="AM396" s="269"/>
      <c r="AN396" s="269"/>
      <c r="AO396" s="269"/>
      <c r="AP396" s="269"/>
      <c r="AQ396" s="269"/>
      <c r="AR396" s="269"/>
    </row>
    <row r="397" spans="1:44">
      <c r="A397" s="269"/>
      <c r="B397" s="269"/>
      <c r="C397" s="269"/>
      <c r="D397" s="269"/>
      <c r="E397" s="269"/>
      <c r="F397" s="269"/>
      <c r="G397" s="269"/>
      <c r="H397" s="269"/>
      <c r="I397" s="269"/>
      <c r="J397" s="269"/>
      <c r="K397" s="269"/>
      <c r="L397" s="269"/>
      <c r="M397" s="269"/>
      <c r="N397" s="269"/>
      <c r="O397" s="269"/>
      <c r="P397" s="269"/>
      <c r="Q397" s="269"/>
      <c r="R397" s="269"/>
      <c r="S397" s="269"/>
      <c r="T397" s="269"/>
      <c r="U397" s="269"/>
      <c r="V397" s="269"/>
      <c r="W397" s="269"/>
      <c r="X397" s="269"/>
      <c r="Y397" s="269"/>
      <c r="Z397" s="269"/>
      <c r="AA397" s="269"/>
      <c r="AB397" s="269"/>
      <c r="AC397" s="269"/>
      <c r="AD397" s="269"/>
      <c r="AE397" s="269"/>
      <c r="AF397" s="269"/>
      <c r="AG397" s="269"/>
      <c r="AH397" s="269"/>
      <c r="AI397" s="269"/>
      <c r="AJ397" s="269"/>
      <c r="AK397" s="269"/>
      <c r="AL397" s="269"/>
      <c r="AM397" s="269"/>
      <c r="AN397" s="269"/>
      <c r="AO397" s="269"/>
      <c r="AP397" s="269"/>
      <c r="AQ397" s="269"/>
      <c r="AR397" s="269"/>
    </row>
    <row r="398" spans="1:44">
      <c r="A398" s="269"/>
      <c r="B398" s="269"/>
      <c r="C398" s="269"/>
      <c r="D398" s="269"/>
      <c r="E398" s="269"/>
      <c r="F398" s="269"/>
      <c r="G398" s="269"/>
      <c r="H398" s="269"/>
      <c r="I398" s="269"/>
      <c r="J398" s="269"/>
      <c r="K398" s="269"/>
      <c r="L398" s="269"/>
      <c r="M398" s="269"/>
      <c r="N398" s="269"/>
      <c r="O398" s="269"/>
      <c r="P398" s="269"/>
      <c r="Q398" s="269"/>
      <c r="R398" s="269"/>
      <c r="S398" s="269"/>
      <c r="T398" s="269"/>
      <c r="U398" s="269"/>
      <c r="V398" s="269"/>
      <c r="W398" s="269"/>
      <c r="X398" s="269"/>
      <c r="Y398" s="269"/>
      <c r="Z398" s="269"/>
      <c r="AA398" s="269"/>
      <c r="AB398" s="269"/>
      <c r="AC398" s="269"/>
      <c r="AD398" s="269"/>
      <c r="AE398" s="269"/>
      <c r="AF398" s="269"/>
      <c r="AG398" s="269"/>
      <c r="AH398" s="269"/>
      <c r="AI398" s="269"/>
      <c r="AJ398" s="269"/>
      <c r="AK398" s="269"/>
      <c r="AL398" s="269"/>
      <c r="AM398" s="269"/>
      <c r="AN398" s="269"/>
      <c r="AO398" s="269"/>
      <c r="AP398" s="269"/>
      <c r="AQ398" s="269"/>
      <c r="AR398" s="269"/>
    </row>
    <row r="399" spans="1:44">
      <c r="A399" s="269"/>
      <c r="B399" s="269"/>
      <c r="C399" s="269"/>
      <c r="D399" s="269"/>
      <c r="E399" s="269"/>
      <c r="F399" s="269"/>
      <c r="G399" s="269"/>
      <c r="H399" s="269"/>
      <c r="I399" s="269"/>
      <c r="J399" s="269"/>
      <c r="K399" s="269"/>
      <c r="L399" s="269"/>
      <c r="M399" s="269"/>
      <c r="N399" s="269"/>
      <c r="O399" s="269"/>
      <c r="P399" s="269"/>
      <c r="Q399" s="269"/>
      <c r="R399" s="269"/>
      <c r="S399" s="269"/>
      <c r="T399" s="269"/>
      <c r="U399" s="269"/>
      <c r="V399" s="269"/>
      <c r="W399" s="269"/>
      <c r="X399" s="269"/>
      <c r="Y399" s="269"/>
      <c r="Z399" s="269"/>
      <c r="AA399" s="269"/>
      <c r="AB399" s="269"/>
      <c r="AC399" s="269"/>
      <c r="AD399" s="269"/>
      <c r="AE399" s="269"/>
      <c r="AF399" s="269"/>
      <c r="AG399" s="269"/>
      <c r="AH399" s="269"/>
      <c r="AI399" s="269"/>
      <c r="AJ399" s="269"/>
      <c r="AK399" s="269"/>
      <c r="AL399" s="269"/>
      <c r="AM399" s="269"/>
      <c r="AN399" s="269"/>
      <c r="AO399" s="269"/>
      <c r="AP399" s="269"/>
      <c r="AQ399" s="269"/>
      <c r="AR399" s="269"/>
    </row>
    <row r="400" spans="1:44">
      <c r="A400" s="269"/>
      <c r="B400" s="269"/>
      <c r="C400" s="269"/>
      <c r="D400" s="269"/>
      <c r="E400" s="269"/>
      <c r="F400" s="269"/>
      <c r="G400" s="269"/>
      <c r="H400" s="269"/>
      <c r="I400" s="269"/>
      <c r="J400" s="269"/>
      <c r="K400" s="269"/>
      <c r="L400" s="269"/>
      <c r="M400" s="269"/>
      <c r="N400" s="269"/>
      <c r="O400" s="269"/>
      <c r="P400" s="269"/>
      <c r="Q400" s="269"/>
      <c r="R400" s="269"/>
      <c r="S400" s="269"/>
      <c r="T400" s="269"/>
      <c r="U400" s="269"/>
      <c r="V400" s="269"/>
      <c r="W400" s="269"/>
      <c r="X400" s="269"/>
      <c r="Y400" s="269"/>
      <c r="Z400" s="269"/>
      <c r="AA400" s="269"/>
      <c r="AB400" s="269"/>
      <c r="AC400" s="269"/>
      <c r="AD400" s="269"/>
      <c r="AE400" s="269"/>
      <c r="AF400" s="269"/>
      <c r="AG400" s="269"/>
      <c r="AH400" s="269"/>
      <c r="AI400" s="269"/>
      <c r="AJ400" s="269"/>
      <c r="AK400" s="269"/>
      <c r="AL400" s="269"/>
      <c r="AM400" s="269"/>
      <c r="AN400" s="269"/>
      <c r="AO400" s="269"/>
      <c r="AP400" s="269"/>
      <c r="AQ400" s="269"/>
      <c r="AR400" s="269"/>
    </row>
    <row r="401" spans="1:44">
      <c r="A401" s="269"/>
      <c r="B401" s="269"/>
      <c r="C401" s="269"/>
      <c r="D401" s="269"/>
      <c r="E401" s="269"/>
      <c r="F401" s="269"/>
      <c r="G401" s="269"/>
      <c r="H401" s="269"/>
      <c r="I401" s="269"/>
      <c r="J401" s="269"/>
      <c r="K401" s="269"/>
      <c r="L401" s="269"/>
      <c r="M401" s="269"/>
      <c r="N401" s="269"/>
      <c r="O401" s="269"/>
      <c r="P401" s="269"/>
      <c r="Q401" s="269"/>
      <c r="R401" s="269"/>
      <c r="S401" s="269"/>
      <c r="T401" s="269"/>
      <c r="U401" s="269"/>
      <c r="V401" s="269"/>
      <c r="W401" s="269"/>
      <c r="X401" s="269"/>
      <c r="Y401" s="269"/>
      <c r="Z401" s="269"/>
      <c r="AA401" s="269"/>
      <c r="AB401" s="269"/>
      <c r="AC401" s="269"/>
      <c r="AD401" s="269"/>
      <c r="AE401" s="269"/>
      <c r="AF401" s="269"/>
      <c r="AG401" s="269"/>
      <c r="AH401" s="269"/>
      <c r="AI401" s="269"/>
      <c r="AJ401" s="269"/>
      <c r="AK401" s="269"/>
      <c r="AL401" s="269"/>
      <c r="AM401" s="269"/>
      <c r="AN401" s="269"/>
      <c r="AO401" s="269"/>
      <c r="AP401" s="269"/>
      <c r="AQ401" s="269"/>
      <c r="AR401" s="269"/>
    </row>
    <row r="402" spans="1:44">
      <c r="A402" s="269"/>
      <c r="B402" s="269"/>
      <c r="C402" s="269"/>
      <c r="D402" s="269"/>
      <c r="E402" s="269"/>
      <c r="F402" s="269"/>
      <c r="G402" s="269"/>
      <c r="H402" s="269"/>
      <c r="I402" s="269"/>
      <c r="J402" s="269"/>
      <c r="K402" s="269"/>
      <c r="L402" s="269"/>
      <c r="M402" s="269"/>
      <c r="N402" s="269"/>
      <c r="O402" s="269"/>
      <c r="P402" s="269"/>
      <c r="Q402" s="269"/>
      <c r="R402" s="269"/>
      <c r="S402" s="269"/>
      <c r="T402" s="269"/>
      <c r="U402" s="269"/>
      <c r="V402" s="269"/>
      <c r="W402" s="269"/>
      <c r="X402" s="269"/>
      <c r="Y402" s="269"/>
      <c r="Z402" s="269"/>
      <c r="AA402" s="269"/>
      <c r="AB402" s="269"/>
      <c r="AC402" s="269"/>
      <c r="AD402" s="269"/>
      <c r="AE402" s="269"/>
      <c r="AF402" s="269"/>
      <c r="AG402" s="269"/>
      <c r="AH402" s="269"/>
      <c r="AI402" s="269"/>
      <c r="AJ402" s="269"/>
      <c r="AK402" s="269"/>
      <c r="AL402" s="269"/>
      <c r="AM402" s="269"/>
      <c r="AN402" s="269"/>
      <c r="AO402" s="269"/>
      <c r="AP402" s="269"/>
      <c r="AQ402" s="269"/>
      <c r="AR402" s="269"/>
    </row>
    <row r="403" spans="1:44">
      <c r="A403" s="269"/>
      <c r="B403" s="269"/>
      <c r="C403" s="269"/>
      <c r="D403" s="269"/>
      <c r="E403" s="269"/>
      <c r="F403" s="269"/>
      <c r="G403" s="269"/>
      <c r="H403" s="269"/>
      <c r="I403" s="269"/>
      <c r="J403" s="269"/>
      <c r="K403" s="269"/>
      <c r="L403" s="269"/>
      <c r="M403" s="269"/>
      <c r="N403" s="269"/>
      <c r="O403" s="269"/>
      <c r="P403" s="269"/>
      <c r="Q403" s="269"/>
      <c r="R403" s="269"/>
      <c r="S403" s="269"/>
      <c r="T403" s="269"/>
      <c r="U403" s="269"/>
      <c r="V403" s="269"/>
      <c r="W403" s="269"/>
      <c r="X403" s="269"/>
      <c r="Y403" s="269"/>
      <c r="Z403" s="269"/>
      <c r="AA403" s="269"/>
      <c r="AB403" s="269"/>
      <c r="AC403" s="269"/>
      <c r="AD403" s="269"/>
      <c r="AE403" s="269"/>
      <c r="AF403" s="269"/>
      <c r="AG403" s="269"/>
      <c r="AH403" s="269"/>
      <c r="AI403" s="269"/>
      <c r="AJ403" s="269"/>
      <c r="AK403" s="269"/>
      <c r="AL403" s="269"/>
      <c r="AM403" s="269"/>
      <c r="AN403" s="269"/>
      <c r="AO403" s="269"/>
      <c r="AP403" s="269"/>
      <c r="AQ403" s="269"/>
      <c r="AR403" s="269"/>
    </row>
    <row r="404" spans="1:44">
      <c r="A404" s="269"/>
      <c r="B404" s="269"/>
      <c r="C404" s="269"/>
      <c r="D404" s="269"/>
      <c r="E404" s="269"/>
      <c r="F404" s="269"/>
      <c r="G404" s="269"/>
      <c r="H404" s="269"/>
      <c r="I404" s="269"/>
      <c r="J404" s="269"/>
      <c r="K404" s="269"/>
      <c r="L404" s="269"/>
      <c r="M404" s="269"/>
      <c r="N404" s="269"/>
      <c r="O404" s="269"/>
      <c r="P404" s="269"/>
      <c r="Q404" s="269"/>
      <c r="R404" s="269"/>
      <c r="S404" s="269"/>
      <c r="T404" s="269"/>
      <c r="U404" s="269"/>
      <c r="V404" s="269"/>
      <c r="W404" s="269"/>
      <c r="X404" s="269"/>
      <c r="Y404" s="269"/>
      <c r="Z404" s="269"/>
      <c r="AA404" s="269"/>
      <c r="AB404" s="269"/>
      <c r="AC404" s="269"/>
      <c r="AD404" s="269"/>
      <c r="AE404" s="269"/>
      <c r="AF404" s="269"/>
      <c r="AG404" s="269"/>
      <c r="AH404" s="269"/>
      <c r="AI404" s="269"/>
      <c r="AJ404" s="269"/>
      <c r="AK404" s="269"/>
      <c r="AL404" s="269"/>
      <c r="AM404" s="269"/>
      <c r="AN404" s="269"/>
      <c r="AO404" s="269"/>
      <c r="AP404" s="269"/>
      <c r="AQ404" s="269"/>
      <c r="AR404" s="269"/>
    </row>
    <row r="405" spans="1:44">
      <c r="A405" s="269"/>
      <c r="B405" s="269"/>
      <c r="C405" s="269"/>
      <c r="D405" s="269"/>
      <c r="E405" s="269"/>
      <c r="F405" s="269"/>
      <c r="G405" s="269"/>
      <c r="H405" s="269"/>
      <c r="I405" s="269"/>
      <c r="J405" s="269"/>
      <c r="K405" s="269"/>
      <c r="L405" s="269"/>
      <c r="M405" s="269"/>
      <c r="N405" s="269"/>
      <c r="O405" s="269"/>
      <c r="P405" s="269"/>
      <c r="Q405" s="269"/>
      <c r="R405" s="269"/>
      <c r="S405" s="269"/>
      <c r="T405" s="269"/>
      <c r="U405" s="269"/>
      <c r="V405" s="269"/>
      <c r="W405" s="269"/>
      <c r="X405" s="269"/>
      <c r="Y405" s="269"/>
      <c r="Z405" s="269"/>
      <c r="AA405" s="269"/>
      <c r="AB405" s="269"/>
      <c r="AC405" s="269"/>
      <c r="AD405" s="269"/>
      <c r="AE405" s="269"/>
      <c r="AF405" s="269"/>
      <c r="AG405" s="269"/>
      <c r="AH405" s="269"/>
      <c r="AI405" s="269"/>
      <c r="AJ405" s="269"/>
      <c r="AK405" s="269"/>
      <c r="AL405" s="269"/>
      <c r="AM405" s="269"/>
      <c r="AN405" s="269"/>
      <c r="AO405" s="269"/>
      <c r="AP405" s="269"/>
      <c r="AQ405" s="269"/>
      <c r="AR405" s="269"/>
    </row>
    <row r="406" spans="1:44">
      <c r="A406" s="269"/>
      <c r="B406" s="269"/>
      <c r="C406" s="269"/>
      <c r="D406" s="269"/>
      <c r="E406" s="269"/>
      <c r="F406" s="269"/>
      <c r="G406" s="269"/>
      <c r="H406" s="269"/>
      <c r="I406" s="269"/>
      <c r="J406" s="269"/>
      <c r="K406" s="269"/>
      <c r="L406" s="269"/>
      <c r="M406" s="269"/>
      <c r="N406" s="269"/>
      <c r="O406" s="269"/>
      <c r="P406" s="269"/>
      <c r="Q406" s="269"/>
      <c r="R406" s="269"/>
      <c r="S406" s="269"/>
      <c r="T406" s="269"/>
      <c r="U406" s="269"/>
      <c r="V406" s="269"/>
      <c r="W406" s="269"/>
      <c r="X406" s="269"/>
      <c r="Y406" s="269"/>
      <c r="Z406" s="269"/>
      <c r="AA406" s="269"/>
      <c r="AB406" s="269"/>
      <c r="AC406" s="269"/>
      <c r="AD406" s="269"/>
      <c r="AE406" s="269"/>
      <c r="AF406" s="269"/>
      <c r="AG406" s="269"/>
      <c r="AH406" s="269"/>
      <c r="AI406" s="269"/>
      <c r="AJ406" s="269"/>
      <c r="AK406" s="269"/>
      <c r="AL406" s="269"/>
      <c r="AM406" s="269"/>
      <c r="AN406" s="269"/>
      <c r="AO406" s="269"/>
      <c r="AP406" s="269"/>
      <c r="AQ406" s="269"/>
      <c r="AR406" s="269"/>
    </row>
    <row r="407" spans="1:44">
      <c r="A407" s="269"/>
      <c r="B407" s="269"/>
      <c r="C407" s="269"/>
      <c r="D407" s="269"/>
      <c r="E407" s="269"/>
      <c r="F407" s="269"/>
      <c r="G407" s="269"/>
      <c r="H407" s="269"/>
      <c r="I407" s="269"/>
      <c r="J407" s="269"/>
      <c r="K407" s="269"/>
      <c r="L407" s="269"/>
      <c r="M407" s="269"/>
      <c r="N407" s="269"/>
      <c r="O407" s="269"/>
      <c r="P407" s="269"/>
      <c r="Q407" s="269"/>
      <c r="R407" s="269"/>
      <c r="S407" s="269"/>
      <c r="T407" s="269"/>
      <c r="U407" s="269"/>
      <c r="V407" s="269"/>
      <c r="W407" s="269"/>
      <c r="X407" s="269"/>
      <c r="Y407" s="269"/>
      <c r="Z407" s="269"/>
      <c r="AA407" s="269"/>
      <c r="AB407" s="269"/>
      <c r="AC407" s="269"/>
      <c r="AD407" s="269"/>
      <c r="AE407" s="269"/>
      <c r="AF407" s="269"/>
      <c r="AG407" s="269"/>
      <c r="AH407" s="269"/>
      <c r="AI407" s="269"/>
      <c r="AJ407" s="269"/>
      <c r="AK407" s="269"/>
      <c r="AL407" s="269"/>
      <c r="AM407" s="269"/>
      <c r="AN407" s="269"/>
      <c r="AO407" s="269"/>
      <c r="AP407" s="269"/>
      <c r="AQ407" s="269"/>
      <c r="AR407" s="269"/>
    </row>
    <row r="408" spans="1:44">
      <c r="A408" s="269"/>
      <c r="B408" s="269"/>
      <c r="C408" s="269"/>
      <c r="D408" s="269"/>
      <c r="E408" s="269"/>
      <c r="F408" s="269"/>
      <c r="G408" s="269"/>
      <c r="H408" s="269"/>
      <c r="I408" s="269"/>
      <c r="J408" s="269"/>
      <c r="K408" s="269"/>
      <c r="L408" s="269"/>
      <c r="M408" s="269"/>
      <c r="N408" s="269"/>
      <c r="O408" s="269"/>
      <c r="P408" s="269"/>
      <c r="Q408" s="269"/>
      <c r="R408" s="269"/>
      <c r="S408" s="269"/>
      <c r="T408" s="269"/>
      <c r="U408" s="269"/>
      <c r="V408" s="269"/>
      <c r="W408" s="269"/>
      <c r="X408" s="269"/>
      <c r="Y408" s="269"/>
      <c r="Z408" s="269"/>
      <c r="AA408" s="269"/>
      <c r="AB408" s="269"/>
      <c r="AC408" s="269"/>
      <c r="AD408" s="269"/>
      <c r="AE408" s="269"/>
      <c r="AF408" s="269"/>
      <c r="AG408" s="269"/>
      <c r="AH408" s="269"/>
      <c r="AI408" s="269"/>
      <c r="AJ408" s="269"/>
      <c r="AK408" s="269"/>
      <c r="AL408" s="269"/>
      <c r="AM408" s="269"/>
      <c r="AN408" s="269"/>
      <c r="AO408" s="269"/>
      <c r="AP408" s="269"/>
      <c r="AQ408" s="269"/>
      <c r="AR408" s="269"/>
    </row>
    <row r="409" spans="1:44">
      <c r="A409" s="269"/>
      <c r="B409" s="269"/>
      <c r="C409" s="269"/>
      <c r="D409" s="269"/>
      <c r="E409" s="269"/>
      <c r="F409" s="269"/>
      <c r="G409" s="269"/>
      <c r="H409" s="269"/>
      <c r="I409" s="269"/>
      <c r="J409" s="269"/>
      <c r="K409" s="269"/>
      <c r="L409" s="269"/>
      <c r="M409" s="269"/>
      <c r="N409" s="269"/>
      <c r="O409" s="269"/>
      <c r="P409" s="269"/>
      <c r="Q409" s="269"/>
      <c r="R409" s="269"/>
      <c r="S409" s="269"/>
      <c r="T409" s="269"/>
      <c r="U409" s="269"/>
      <c r="V409" s="269"/>
      <c r="W409" s="269"/>
      <c r="X409" s="269"/>
      <c r="Y409" s="269"/>
      <c r="Z409" s="269"/>
      <c r="AA409" s="269"/>
      <c r="AB409" s="269"/>
      <c r="AC409" s="269"/>
      <c r="AD409" s="269"/>
      <c r="AE409" s="269"/>
      <c r="AF409" s="269"/>
      <c r="AG409" s="269"/>
      <c r="AH409" s="269"/>
      <c r="AI409" s="269"/>
      <c r="AJ409" s="269"/>
      <c r="AK409" s="269"/>
      <c r="AL409" s="269"/>
      <c r="AM409" s="269"/>
      <c r="AN409" s="269"/>
      <c r="AO409" s="269"/>
      <c r="AP409" s="269"/>
      <c r="AQ409" s="269"/>
      <c r="AR409" s="269"/>
    </row>
    <row r="410" spans="1:44">
      <c r="A410" s="269"/>
      <c r="B410" s="269"/>
      <c r="C410" s="269"/>
      <c r="D410" s="269"/>
      <c r="E410" s="269"/>
      <c r="F410" s="269"/>
      <c r="G410" s="269"/>
      <c r="H410" s="269"/>
      <c r="I410" s="269"/>
      <c r="J410" s="269"/>
      <c r="K410" s="269"/>
      <c r="L410" s="269"/>
      <c r="M410" s="269"/>
      <c r="N410" s="269"/>
      <c r="O410" s="269"/>
      <c r="P410" s="269"/>
      <c r="Q410" s="269"/>
      <c r="R410" s="269"/>
      <c r="S410" s="269"/>
      <c r="T410" s="269"/>
      <c r="U410" s="269"/>
      <c r="V410" s="269"/>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9"/>
      <c r="AR410" s="269"/>
    </row>
    <row r="411" spans="1:44">
      <c r="A411" s="269"/>
      <c r="B411" s="269"/>
      <c r="C411" s="269"/>
      <c r="D411" s="269"/>
      <c r="E411" s="269"/>
      <c r="F411" s="269"/>
      <c r="G411" s="269"/>
      <c r="H411" s="269"/>
      <c r="I411" s="269"/>
      <c r="J411" s="269"/>
      <c r="K411" s="269"/>
      <c r="L411" s="269"/>
      <c r="M411" s="269"/>
      <c r="N411" s="269"/>
      <c r="O411" s="269"/>
      <c r="P411" s="269"/>
      <c r="Q411" s="269"/>
      <c r="R411" s="269"/>
      <c r="S411" s="269"/>
      <c r="T411" s="269"/>
      <c r="U411" s="269"/>
      <c r="V411" s="269"/>
      <c r="W411" s="269"/>
      <c r="X411" s="269"/>
      <c r="Y411" s="269"/>
      <c r="Z411" s="269"/>
      <c r="AA411" s="269"/>
      <c r="AB411" s="269"/>
      <c r="AC411" s="269"/>
      <c r="AD411" s="269"/>
      <c r="AE411" s="269"/>
      <c r="AF411" s="269"/>
      <c r="AG411" s="269"/>
      <c r="AH411" s="269"/>
      <c r="AI411" s="269"/>
      <c r="AJ411" s="269"/>
      <c r="AK411" s="269"/>
      <c r="AL411" s="269"/>
      <c r="AM411" s="269"/>
      <c r="AN411" s="269"/>
      <c r="AO411" s="269"/>
      <c r="AP411" s="269"/>
      <c r="AQ411" s="269"/>
      <c r="AR411" s="269"/>
    </row>
    <row r="412" spans="1:44">
      <c r="A412" s="269"/>
      <c r="B412" s="269"/>
      <c r="C412" s="269"/>
      <c r="D412" s="269"/>
      <c r="E412" s="269"/>
      <c r="F412" s="269"/>
      <c r="G412" s="269"/>
      <c r="H412" s="269"/>
      <c r="I412" s="269"/>
      <c r="J412" s="269"/>
      <c r="K412" s="269"/>
      <c r="L412" s="269"/>
      <c r="M412" s="269"/>
      <c r="N412" s="269"/>
      <c r="O412" s="269"/>
      <c r="P412" s="269"/>
      <c r="Q412" s="269"/>
      <c r="R412" s="269"/>
      <c r="S412" s="269"/>
      <c r="T412" s="269"/>
      <c r="U412" s="269"/>
      <c r="V412" s="269"/>
      <c r="W412" s="269"/>
      <c r="X412" s="269"/>
      <c r="Y412" s="269"/>
      <c r="Z412" s="269"/>
      <c r="AA412" s="269"/>
      <c r="AB412" s="269"/>
      <c r="AC412" s="269"/>
      <c r="AD412" s="269"/>
      <c r="AE412" s="269"/>
      <c r="AF412" s="269"/>
      <c r="AG412" s="269"/>
      <c r="AH412" s="269"/>
      <c r="AI412" s="269"/>
      <c r="AJ412" s="269"/>
      <c r="AK412" s="269"/>
      <c r="AL412" s="269"/>
      <c r="AM412" s="269"/>
      <c r="AN412" s="269"/>
      <c r="AO412" s="269"/>
      <c r="AP412" s="269"/>
      <c r="AQ412" s="269"/>
      <c r="AR412" s="269"/>
    </row>
    <row r="413" spans="1:44">
      <c r="A413" s="269"/>
      <c r="B413" s="269"/>
      <c r="C413" s="269"/>
      <c r="D413" s="269"/>
      <c r="E413" s="269"/>
      <c r="F413" s="269"/>
      <c r="G413" s="269"/>
      <c r="H413" s="269"/>
      <c r="I413" s="269"/>
      <c r="J413" s="269"/>
      <c r="K413" s="269"/>
      <c r="L413" s="269"/>
      <c r="M413" s="269"/>
      <c r="N413" s="269"/>
      <c r="O413" s="269"/>
      <c r="P413" s="269"/>
      <c r="Q413" s="269"/>
      <c r="R413" s="269"/>
      <c r="S413" s="269"/>
      <c r="T413" s="269"/>
      <c r="U413" s="269"/>
      <c r="V413" s="269"/>
      <c r="W413" s="269"/>
      <c r="X413" s="269"/>
      <c r="Y413" s="269"/>
      <c r="Z413" s="269"/>
      <c r="AA413" s="269"/>
      <c r="AB413" s="269"/>
      <c r="AC413" s="269"/>
      <c r="AD413" s="269"/>
      <c r="AE413" s="269"/>
      <c r="AF413" s="269"/>
      <c r="AG413" s="269"/>
      <c r="AH413" s="269"/>
      <c r="AI413" s="269"/>
      <c r="AJ413" s="269"/>
      <c r="AK413" s="269"/>
      <c r="AL413" s="269"/>
      <c r="AM413" s="269"/>
      <c r="AN413" s="269"/>
      <c r="AO413" s="269"/>
      <c r="AP413" s="269"/>
      <c r="AQ413" s="269"/>
      <c r="AR413" s="269"/>
    </row>
    <row r="414" spans="1:44">
      <c r="A414" s="269"/>
      <c r="B414" s="269"/>
      <c r="C414" s="269"/>
      <c r="D414" s="269"/>
      <c r="E414" s="269"/>
      <c r="F414" s="269"/>
      <c r="G414" s="269"/>
      <c r="H414" s="269"/>
      <c r="I414" s="269"/>
      <c r="J414" s="269"/>
      <c r="K414" s="269"/>
      <c r="L414" s="269"/>
      <c r="M414" s="269"/>
      <c r="N414" s="269"/>
      <c r="O414" s="269"/>
      <c r="P414" s="269"/>
      <c r="Q414" s="269"/>
      <c r="R414" s="269"/>
      <c r="S414" s="269"/>
      <c r="T414" s="269"/>
      <c r="U414" s="269"/>
      <c r="V414" s="269"/>
      <c r="W414" s="269"/>
      <c r="X414" s="269"/>
      <c r="Y414" s="269"/>
      <c r="Z414" s="269"/>
      <c r="AA414" s="269"/>
      <c r="AB414" s="269"/>
      <c r="AC414" s="269"/>
      <c r="AD414" s="269"/>
      <c r="AE414" s="269"/>
      <c r="AF414" s="269"/>
      <c r="AG414" s="269"/>
      <c r="AH414" s="269"/>
      <c r="AI414" s="269"/>
      <c r="AJ414" s="269"/>
      <c r="AK414" s="269"/>
      <c r="AL414" s="269"/>
      <c r="AM414" s="269"/>
      <c r="AN414" s="269"/>
      <c r="AO414" s="269"/>
      <c r="AP414" s="269"/>
      <c r="AQ414" s="269"/>
      <c r="AR414" s="269"/>
    </row>
    <row r="415" spans="1:44">
      <c r="A415" s="269"/>
      <c r="B415" s="269"/>
      <c r="C415" s="269"/>
      <c r="D415" s="269"/>
      <c r="E415" s="269"/>
      <c r="F415" s="269"/>
      <c r="G415" s="269"/>
      <c r="H415" s="269"/>
      <c r="I415" s="269"/>
      <c r="J415" s="269"/>
      <c r="K415" s="269"/>
      <c r="L415" s="269"/>
      <c r="M415" s="269"/>
      <c r="N415" s="269"/>
      <c r="O415" s="269"/>
      <c r="P415" s="269"/>
      <c r="Q415" s="269"/>
      <c r="R415" s="269"/>
      <c r="S415" s="269"/>
      <c r="T415" s="269"/>
      <c r="U415" s="269"/>
      <c r="V415" s="269"/>
      <c r="W415" s="269"/>
      <c r="X415" s="269"/>
      <c r="Y415" s="269"/>
      <c r="Z415" s="269"/>
      <c r="AA415" s="269"/>
      <c r="AB415" s="269"/>
      <c r="AC415" s="269"/>
      <c r="AD415" s="269"/>
      <c r="AE415" s="269"/>
      <c r="AF415" s="269"/>
      <c r="AG415" s="269"/>
      <c r="AH415" s="269"/>
      <c r="AI415" s="269"/>
      <c r="AJ415" s="269"/>
      <c r="AK415" s="269"/>
      <c r="AL415" s="269"/>
      <c r="AM415" s="269"/>
      <c r="AN415" s="269"/>
      <c r="AO415" s="269"/>
      <c r="AP415" s="269"/>
      <c r="AQ415" s="269"/>
      <c r="AR415" s="269"/>
    </row>
    <row r="416" spans="1:44">
      <c r="A416" s="269"/>
      <c r="B416" s="269"/>
      <c r="C416" s="269"/>
      <c r="D416" s="269"/>
      <c r="E416" s="269"/>
      <c r="F416" s="269"/>
      <c r="G416" s="269"/>
      <c r="H416" s="269"/>
      <c r="I416" s="269"/>
      <c r="J416" s="269"/>
      <c r="K416" s="269"/>
      <c r="L416" s="269"/>
      <c r="M416" s="269"/>
      <c r="N416" s="269"/>
      <c r="O416" s="269"/>
      <c r="P416" s="269"/>
      <c r="Q416" s="269"/>
      <c r="R416" s="269"/>
      <c r="S416" s="269"/>
      <c r="T416" s="269"/>
      <c r="U416" s="269"/>
      <c r="V416" s="269"/>
      <c r="W416" s="269"/>
      <c r="X416" s="269"/>
      <c r="Y416" s="269"/>
      <c r="Z416" s="269"/>
      <c r="AA416" s="269"/>
      <c r="AB416" s="269"/>
      <c r="AC416" s="269"/>
      <c r="AD416" s="269"/>
      <c r="AE416" s="269"/>
      <c r="AF416" s="269"/>
      <c r="AG416" s="269"/>
      <c r="AH416" s="269"/>
      <c r="AI416" s="269"/>
      <c r="AJ416" s="269"/>
      <c r="AK416" s="269"/>
      <c r="AL416" s="269"/>
      <c r="AM416" s="269"/>
      <c r="AN416" s="269"/>
      <c r="AO416" s="269"/>
      <c r="AP416" s="269"/>
      <c r="AQ416" s="269"/>
      <c r="AR416" s="269"/>
    </row>
    <row r="417" spans="1:44">
      <c r="A417" s="269"/>
      <c r="B417" s="269"/>
      <c r="C417" s="269"/>
      <c r="D417" s="269"/>
      <c r="E417" s="269"/>
      <c r="F417" s="269"/>
      <c r="G417" s="269"/>
      <c r="H417" s="269"/>
      <c r="I417" s="269"/>
      <c r="J417" s="269"/>
      <c r="K417" s="269"/>
      <c r="L417" s="269"/>
      <c r="M417" s="269"/>
      <c r="N417" s="269"/>
      <c r="O417" s="269"/>
      <c r="P417" s="269"/>
      <c r="Q417" s="269"/>
      <c r="R417" s="269"/>
      <c r="S417" s="269"/>
      <c r="T417" s="269"/>
      <c r="U417" s="269"/>
      <c r="V417" s="269"/>
      <c r="W417" s="269"/>
      <c r="X417" s="269"/>
      <c r="Y417" s="269"/>
      <c r="Z417" s="269"/>
      <c r="AA417" s="269"/>
      <c r="AB417" s="269"/>
      <c r="AC417" s="269"/>
      <c r="AD417" s="269"/>
      <c r="AE417" s="269"/>
      <c r="AF417" s="269"/>
      <c r="AG417" s="269"/>
      <c r="AH417" s="269"/>
      <c r="AI417" s="269"/>
      <c r="AJ417" s="269"/>
      <c r="AK417" s="269"/>
      <c r="AL417" s="269"/>
      <c r="AM417" s="269"/>
      <c r="AN417" s="269"/>
      <c r="AO417" s="269"/>
      <c r="AP417" s="269"/>
      <c r="AQ417" s="269"/>
      <c r="AR417" s="269"/>
    </row>
    <row r="418" spans="1:44">
      <c r="A418" s="269"/>
      <c r="B418" s="269"/>
      <c r="C418" s="269"/>
      <c r="D418" s="269"/>
      <c r="E418" s="269"/>
      <c r="F418" s="269"/>
      <c r="G418" s="269"/>
      <c r="H418" s="269"/>
      <c r="I418" s="269"/>
      <c r="J418" s="269"/>
      <c r="K418" s="269"/>
      <c r="L418" s="269"/>
      <c r="M418" s="269"/>
      <c r="N418" s="269"/>
      <c r="O418" s="269"/>
      <c r="P418" s="269"/>
      <c r="Q418" s="269"/>
      <c r="R418" s="269"/>
      <c r="S418" s="269"/>
      <c r="T418" s="269"/>
      <c r="U418" s="269"/>
      <c r="V418" s="269"/>
      <c r="W418" s="269"/>
      <c r="X418" s="269"/>
      <c r="Y418" s="269"/>
      <c r="Z418" s="269"/>
      <c r="AA418" s="269"/>
      <c r="AB418" s="269"/>
      <c r="AC418" s="269"/>
      <c r="AD418" s="269"/>
      <c r="AE418" s="269"/>
      <c r="AF418" s="269"/>
      <c r="AG418" s="269"/>
      <c r="AH418" s="269"/>
      <c r="AI418" s="269"/>
      <c r="AJ418" s="269"/>
      <c r="AK418" s="269"/>
      <c r="AL418" s="269"/>
      <c r="AM418" s="269"/>
      <c r="AN418" s="269"/>
      <c r="AO418" s="269"/>
      <c r="AP418" s="269"/>
      <c r="AQ418" s="269"/>
      <c r="AR418" s="269"/>
    </row>
    <row r="419" spans="1:44">
      <c r="A419" s="269"/>
      <c r="B419" s="269"/>
      <c r="C419" s="269"/>
      <c r="D419" s="269"/>
      <c r="E419" s="269"/>
      <c r="F419" s="269"/>
      <c r="G419" s="269"/>
      <c r="H419" s="269"/>
      <c r="I419" s="269"/>
      <c r="J419" s="269"/>
      <c r="K419" s="269"/>
      <c r="L419" s="269"/>
      <c r="M419" s="269"/>
      <c r="N419" s="269"/>
      <c r="O419" s="269"/>
      <c r="P419" s="269"/>
      <c r="Q419" s="269"/>
      <c r="R419" s="269"/>
      <c r="S419" s="269"/>
      <c r="T419" s="269"/>
      <c r="U419" s="269"/>
      <c r="V419" s="269"/>
      <c r="W419" s="269"/>
      <c r="X419" s="269"/>
      <c r="Y419" s="269"/>
      <c r="Z419" s="269"/>
      <c r="AA419" s="269"/>
      <c r="AB419" s="269"/>
      <c r="AC419" s="269"/>
      <c r="AD419" s="269"/>
      <c r="AE419" s="269"/>
      <c r="AF419" s="269"/>
      <c r="AG419" s="269"/>
      <c r="AH419" s="269"/>
      <c r="AI419" s="269"/>
      <c r="AJ419" s="269"/>
      <c r="AK419" s="269"/>
      <c r="AL419" s="269"/>
      <c r="AM419" s="269"/>
      <c r="AN419" s="269"/>
      <c r="AO419" s="269"/>
      <c r="AP419" s="269"/>
      <c r="AQ419" s="269"/>
      <c r="AR419" s="269"/>
    </row>
    <row r="420" spans="1:44">
      <c r="A420" s="269"/>
      <c r="B420" s="269"/>
      <c r="C420" s="269"/>
      <c r="D420" s="269"/>
      <c r="E420" s="269"/>
      <c r="F420" s="269"/>
      <c r="G420" s="269"/>
      <c r="H420" s="269"/>
      <c r="I420" s="269"/>
      <c r="J420" s="269"/>
      <c r="K420" s="269"/>
      <c r="L420" s="269"/>
      <c r="M420" s="269"/>
      <c r="N420" s="269"/>
      <c r="O420" s="269"/>
      <c r="P420" s="269"/>
      <c r="Q420" s="269"/>
      <c r="R420" s="269"/>
      <c r="S420" s="269"/>
      <c r="T420" s="269"/>
      <c r="U420" s="269"/>
      <c r="V420" s="269"/>
      <c r="W420" s="269"/>
      <c r="X420" s="269"/>
      <c r="Y420" s="269"/>
      <c r="Z420" s="269"/>
      <c r="AA420" s="269"/>
      <c r="AB420" s="269"/>
      <c r="AC420" s="269"/>
      <c r="AD420" s="269"/>
      <c r="AE420" s="269"/>
      <c r="AF420" s="269"/>
      <c r="AG420" s="269"/>
      <c r="AH420" s="269"/>
      <c r="AI420" s="269"/>
      <c r="AJ420" s="269"/>
      <c r="AK420" s="269"/>
      <c r="AL420" s="269"/>
      <c r="AM420" s="269"/>
      <c r="AN420" s="269"/>
      <c r="AO420" s="269"/>
      <c r="AP420" s="269"/>
      <c r="AQ420" s="269"/>
      <c r="AR420" s="269"/>
    </row>
    <row r="421" spans="1:44">
      <c r="A421" s="269"/>
      <c r="B421" s="269"/>
      <c r="C421" s="269"/>
      <c r="D421" s="269"/>
      <c r="E421" s="269"/>
      <c r="F421" s="269"/>
      <c r="G421" s="269"/>
      <c r="H421" s="269"/>
      <c r="I421" s="269"/>
      <c r="J421" s="269"/>
      <c r="K421" s="269"/>
      <c r="L421" s="269"/>
      <c r="M421" s="269"/>
      <c r="N421" s="269"/>
      <c r="O421" s="269"/>
      <c r="P421" s="269"/>
      <c r="Q421" s="269"/>
      <c r="R421" s="269"/>
      <c r="S421" s="269"/>
      <c r="T421" s="269"/>
      <c r="U421" s="269"/>
      <c r="V421" s="269"/>
      <c r="W421" s="269"/>
      <c r="X421" s="269"/>
      <c r="Y421" s="269"/>
      <c r="Z421" s="269"/>
      <c r="AA421" s="269"/>
      <c r="AB421" s="269"/>
      <c r="AC421" s="269"/>
      <c r="AD421" s="269"/>
      <c r="AE421" s="269"/>
      <c r="AF421" s="269"/>
      <c r="AG421" s="269"/>
      <c r="AH421" s="269"/>
      <c r="AI421" s="269"/>
      <c r="AJ421" s="269"/>
      <c r="AK421" s="269"/>
      <c r="AL421" s="269"/>
      <c r="AM421" s="269"/>
      <c r="AN421" s="269"/>
      <c r="AO421" s="269"/>
      <c r="AP421" s="269"/>
      <c r="AQ421" s="269"/>
      <c r="AR421" s="269"/>
    </row>
    <row r="422" spans="1:44">
      <c r="A422" s="269"/>
      <c r="B422" s="269"/>
      <c r="C422" s="269"/>
      <c r="D422" s="269"/>
      <c r="E422" s="269"/>
      <c r="F422" s="269"/>
      <c r="G422" s="269"/>
      <c r="H422" s="269"/>
      <c r="I422" s="269"/>
      <c r="J422" s="269"/>
      <c r="K422" s="269"/>
      <c r="L422" s="269"/>
      <c r="M422" s="269"/>
      <c r="N422" s="269"/>
      <c r="O422" s="269"/>
      <c r="P422" s="269"/>
      <c r="Q422" s="269"/>
      <c r="R422" s="269"/>
      <c r="S422" s="269"/>
      <c r="T422" s="269"/>
      <c r="U422" s="269"/>
      <c r="V422" s="269"/>
      <c r="W422" s="269"/>
      <c r="X422" s="269"/>
      <c r="Y422" s="269"/>
      <c r="Z422" s="269"/>
      <c r="AA422" s="269"/>
      <c r="AB422" s="269"/>
      <c r="AC422" s="269"/>
      <c r="AD422" s="269"/>
      <c r="AE422" s="269"/>
      <c r="AF422" s="269"/>
      <c r="AG422" s="269"/>
      <c r="AH422" s="269"/>
      <c r="AI422" s="269"/>
      <c r="AJ422" s="269"/>
      <c r="AK422" s="269"/>
      <c r="AL422" s="269"/>
      <c r="AM422" s="269"/>
      <c r="AN422" s="269"/>
      <c r="AO422" s="269"/>
      <c r="AP422" s="269"/>
      <c r="AQ422" s="269"/>
      <c r="AR422" s="269"/>
    </row>
    <row r="423" spans="1:44">
      <c r="A423" s="269"/>
      <c r="B423" s="269"/>
      <c r="C423" s="269"/>
      <c r="D423" s="269"/>
      <c r="E423" s="269"/>
      <c r="F423" s="269"/>
      <c r="G423" s="269"/>
      <c r="H423" s="269"/>
      <c r="I423" s="269"/>
      <c r="J423" s="269"/>
      <c r="K423" s="269"/>
      <c r="L423" s="269"/>
      <c r="M423" s="269"/>
      <c r="N423" s="269"/>
      <c r="O423" s="269"/>
      <c r="P423" s="269"/>
      <c r="Q423" s="269"/>
      <c r="R423" s="269"/>
      <c r="S423" s="269"/>
      <c r="T423" s="269"/>
      <c r="U423" s="269"/>
      <c r="V423" s="269"/>
      <c r="W423" s="269"/>
      <c r="X423" s="269"/>
      <c r="Y423" s="269"/>
      <c r="Z423" s="269"/>
      <c r="AA423" s="269"/>
      <c r="AB423" s="269"/>
      <c r="AC423" s="269"/>
      <c r="AD423" s="269"/>
      <c r="AE423" s="269"/>
      <c r="AF423" s="269"/>
      <c r="AG423" s="269"/>
      <c r="AH423" s="269"/>
      <c r="AI423" s="269"/>
      <c r="AJ423" s="269"/>
      <c r="AK423" s="269"/>
      <c r="AL423" s="269"/>
      <c r="AM423" s="269"/>
      <c r="AN423" s="269"/>
      <c r="AO423" s="269"/>
      <c r="AP423" s="269"/>
      <c r="AQ423" s="269"/>
      <c r="AR423" s="269"/>
    </row>
    <row r="424" spans="1:44">
      <c r="A424" s="269"/>
      <c r="B424" s="269"/>
      <c r="C424" s="269"/>
      <c r="D424" s="269"/>
      <c r="E424" s="269"/>
      <c r="F424" s="269"/>
      <c r="G424" s="269"/>
      <c r="H424" s="269"/>
      <c r="I424" s="269"/>
      <c r="J424" s="269"/>
      <c r="K424" s="269"/>
      <c r="L424" s="269"/>
      <c r="M424" s="269"/>
      <c r="N424" s="269"/>
      <c r="O424" s="269"/>
      <c r="P424" s="269"/>
      <c r="Q424" s="269"/>
      <c r="R424" s="269"/>
      <c r="S424" s="269"/>
      <c r="T424" s="269"/>
      <c r="U424" s="269"/>
      <c r="V424" s="269"/>
      <c r="W424" s="269"/>
      <c r="X424" s="269"/>
      <c r="Y424" s="269"/>
      <c r="Z424" s="269"/>
      <c r="AA424" s="269"/>
      <c r="AB424" s="269"/>
      <c r="AC424" s="269"/>
      <c r="AD424" s="269"/>
      <c r="AE424" s="269"/>
      <c r="AF424" s="269"/>
      <c r="AG424" s="269"/>
      <c r="AH424" s="269"/>
      <c r="AI424" s="269"/>
      <c r="AJ424" s="269"/>
      <c r="AK424" s="269"/>
      <c r="AL424" s="269"/>
      <c r="AM424" s="269"/>
      <c r="AN424" s="269"/>
      <c r="AO424" s="269"/>
      <c r="AP424" s="269"/>
      <c r="AQ424" s="269"/>
      <c r="AR424" s="269"/>
    </row>
    <row r="425" spans="1:44">
      <c r="A425" s="269"/>
      <c r="B425" s="269"/>
      <c r="C425" s="269"/>
      <c r="D425" s="269"/>
      <c r="E425" s="269"/>
      <c r="F425" s="269"/>
      <c r="G425" s="269"/>
      <c r="H425" s="269"/>
      <c r="I425" s="269"/>
      <c r="J425" s="269"/>
      <c r="K425" s="269"/>
      <c r="L425" s="269"/>
      <c r="M425" s="269"/>
      <c r="N425" s="269"/>
      <c r="O425" s="269"/>
      <c r="P425" s="269"/>
      <c r="Q425" s="269"/>
      <c r="R425" s="269"/>
      <c r="S425" s="269"/>
      <c r="T425" s="269"/>
      <c r="U425" s="269"/>
      <c r="V425" s="269"/>
      <c r="W425" s="269"/>
      <c r="X425" s="269"/>
      <c r="Y425" s="269"/>
      <c r="Z425" s="269"/>
      <c r="AA425" s="269"/>
      <c r="AB425" s="269"/>
      <c r="AC425" s="269"/>
      <c r="AD425" s="269"/>
      <c r="AE425" s="269"/>
      <c r="AF425" s="269"/>
      <c r="AG425" s="269"/>
      <c r="AH425" s="269"/>
      <c r="AI425" s="269"/>
      <c r="AJ425" s="269"/>
      <c r="AK425" s="269"/>
      <c r="AL425" s="269"/>
      <c r="AM425" s="269"/>
      <c r="AN425" s="269"/>
      <c r="AO425" s="269"/>
      <c r="AP425" s="269"/>
      <c r="AQ425" s="269"/>
      <c r="AR425" s="269"/>
    </row>
    <row r="426" spans="1:44">
      <c r="A426" s="269"/>
      <c r="B426" s="269"/>
      <c r="C426" s="269"/>
      <c r="D426" s="269"/>
      <c r="E426" s="269"/>
      <c r="F426" s="269"/>
      <c r="G426" s="269"/>
      <c r="H426" s="269"/>
      <c r="I426" s="269"/>
      <c r="J426" s="269"/>
      <c r="K426" s="269"/>
      <c r="L426" s="269"/>
      <c r="M426" s="269"/>
      <c r="N426" s="269"/>
      <c r="O426" s="269"/>
      <c r="P426" s="269"/>
      <c r="Q426" s="269"/>
      <c r="R426" s="269"/>
      <c r="S426" s="269"/>
      <c r="T426" s="269"/>
      <c r="U426" s="269"/>
      <c r="V426" s="269"/>
      <c r="W426" s="269"/>
      <c r="X426" s="269"/>
      <c r="Y426" s="269"/>
      <c r="Z426" s="269"/>
      <c r="AA426" s="269"/>
      <c r="AB426" s="269"/>
      <c r="AC426" s="269"/>
      <c r="AD426" s="269"/>
      <c r="AE426" s="269"/>
      <c r="AF426" s="269"/>
      <c r="AG426" s="269"/>
      <c r="AH426" s="269"/>
      <c r="AI426" s="269"/>
      <c r="AJ426" s="269"/>
      <c r="AK426" s="269"/>
      <c r="AL426" s="269"/>
      <c r="AM426" s="269"/>
      <c r="AN426" s="269"/>
      <c r="AO426" s="269"/>
      <c r="AP426" s="269"/>
      <c r="AQ426" s="269"/>
      <c r="AR426" s="269"/>
    </row>
    <row r="427" spans="1:44">
      <c r="A427" s="269"/>
      <c r="B427" s="269"/>
      <c r="C427" s="269"/>
      <c r="D427" s="269"/>
      <c r="E427" s="269"/>
      <c r="F427" s="269"/>
      <c r="G427" s="269"/>
      <c r="H427" s="269"/>
      <c r="I427" s="269"/>
      <c r="J427" s="269"/>
      <c r="K427" s="269"/>
      <c r="L427" s="269"/>
      <c r="M427" s="269"/>
      <c r="N427" s="269"/>
      <c r="O427" s="269"/>
      <c r="P427" s="269"/>
      <c r="Q427" s="269"/>
      <c r="R427" s="269"/>
      <c r="S427" s="269"/>
      <c r="T427" s="269"/>
      <c r="U427" s="269"/>
      <c r="V427" s="269"/>
      <c r="W427" s="269"/>
      <c r="X427" s="269"/>
      <c r="Y427" s="269"/>
      <c r="Z427" s="269"/>
      <c r="AA427" s="269"/>
      <c r="AB427" s="269"/>
      <c r="AC427" s="269"/>
      <c r="AD427" s="269"/>
      <c r="AE427" s="269"/>
      <c r="AF427" s="269"/>
      <c r="AG427" s="269"/>
      <c r="AH427" s="269"/>
      <c r="AI427" s="269"/>
      <c r="AJ427" s="269"/>
      <c r="AK427" s="269"/>
      <c r="AL427" s="269"/>
      <c r="AM427" s="269"/>
      <c r="AN427" s="269"/>
      <c r="AO427" s="269"/>
      <c r="AP427" s="269"/>
      <c r="AQ427" s="269"/>
      <c r="AR427" s="269"/>
    </row>
    <row r="428" spans="1:44">
      <c r="A428" s="269"/>
      <c r="B428" s="269"/>
      <c r="C428" s="269"/>
      <c r="D428" s="269"/>
      <c r="E428" s="269"/>
      <c r="F428" s="269"/>
      <c r="G428" s="269"/>
      <c r="H428" s="269"/>
      <c r="I428" s="269"/>
      <c r="J428" s="269"/>
      <c r="K428" s="269"/>
      <c r="L428" s="269"/>
      <c r="M428" s="269"/>
      <c r="N428" s="269"/>
      <c r="O428" s="269"/>
      <c r="P428" s="269"/>
      <c r="Q428" s="269"/>
      <c r="R428" s="269"/>
      <c r="S428" s="269"/>
      <c r="T428" s="269"/>
      <c r="U428" s="269"/>
      <c r="V428" s="269"/>
      <c r="W428" s="269"/>
      <c r="X428" s="269"/>
      <c r="Y428" s="269"/>
      <c r="Z428" s="269"/>
      <c r="AA428" s="269"/>
      <c r="AB428" s="269"/>
      <c r="AC428" s="269"/>
      <c r="AD428" s="269"/>
      <c r="AE428" s="269"/>
      <c r="AF428" s="269"/>
      <c r="AG428" s="269"/>
      <c r="AH428" s="269"/>
      <c r="AI428" s="269"/>
      <c r="AJ428" s="269"/>
      <c r="AK428" s="269"/>
      <c r="AL428" s="269"/>
      <c r="AM428" s="269"/>
      <c r="AN428" s="269"/>
      <c r="AO428" s="269"/>
      <c r="AP428" s="269"/>
      <c r="AQ428" s="269"/>
      <c r="AR428" s="269"/>
    </row>
    <row r="429" spans="1:44">
      <c r="A429" s="269"/>
      <c r="B429" s="269"/>
      <c r="C429" s="269"/>
      <c r="D429" s="269"/>
      <c r="E429" s="269"/>
      <c r="F429" s="269"/>
      <c r="G429" s="269"/>
      <c r="H429" s="269"/>
      <c r="I429" s="269"/>
      <c r="J429" s="269"/>
      <c r="K429" s="269"/>
      <c r="L429" s="269"/>
      <c r="M429" s="269"/>
      <c r="N429" s="269"/>
      <c r="O429" s="269"/>
      <c r="P429" s="269"/>
      <c r="Q429" s="269"/>
      <c r="R429" s="269"/>
      <c r="S429" s="269"/>
      <c r="T429" s="269"/>
      <c r="U429" s="269"/>
      <c r="V429" s="269"/>
      <c r="W429" s="269"/>
      <c r="X429" s="269"/>
      <c r="Y429" s="269"/>
      <c r="Z429" s="269"/>
      <c r="AA429" s="269"/>
      <c r="AB429" s="269"/>
      <c r="AC429" s="269"/>
      <c r="AD429" s="269"/>
      <c r="AE429" s="269"/>
      <c r="AF429" s="269"/>
      <c r="AG429" s="269"/>
      <c r="AH429" s="269"/>
      <c r="AI429" s="269"/>
      <c r="AJ429" s="269"/>
      <c r="AK429" s="269"/>
      <c r="AL429" s="269"/>
      <c r="AM429" s="269"/>
      <c r="AN429" s="269"/>
      <c r="AO429" s="269"/>
      <c r="AP429" s="269"/>
      <c r="AQ429" s="269"/>
      <c r="AR429" s="269"/>
    </row>
    <row r="430" spans="1:44">
      <c r="A430" s="269"/>
      <c r="B430" s="269"/>
      <c r="C430" s="269"/>
      <c r="D430" s="269"/>
      <c r="E430" s="269"/>
      <c r="F430" s="269"/>
      <c r="G430" s="269"/>
      <c r="H430" s="269"/>
      <c r="I430" s="269"/>
      <c r="J430" s="269"/>
      <c r="K430" s="269"/>
      <c r="L430" s="269"/>
      <c r="M430" s="269"/>
      <c r="N430" s="269"/>
      <c r="O430" s="269"/>
      <c r="P430" s="269"/>
      <c r="Q430" s="269"/>
      <c r="R430" s="269"/>
      <c r="S430" s="269"/>
      <c r="T430" s="269"/>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row>
    <row r="431" spans="1:44">
      <c r="A431" s="269"/>
      <c r="B431" s="269"/>
      <c r="C431" s="269"/>
      <c r="D431" s="269"/>
      <c r="E431" s="269"/>
      <c r="F431" s="269"/>
      <c r="G431" s="269"/>
      <c r="H431" s="269"/>
      <c r="I431" s="269"/>
      <c r="J431" s="269"/>
      <c r="K431" s="269"/>
      <c r="L431" s="269"/>
      <c r="M431" s="269"/>
      <c r="N431" s="269"/>
      <c r="O431" s="269"/>
      <c r="P431" s="269"/>
      <c r="Q431" s="269"/>
      <c r="R431" s="269"/>
      <c r="S431" s="269"/>
      <c r="T431" s="269"/>
      <c r="U431" s="269"/>
      <c r="V431" s="269"/>
      <c r="W431" s="269"/>
      <c r="X431" s="269"/>
      <c r="Y431" s="269"/>
      <c r="Z431" s="269"/>
      <c r="AA431" s="269"/>
      <c r="AB431" s="269"/>
      <c r="AC431" s="269"/>
      <c r="AD431" s="269"/>
      <c r="AE431" s="269"/>
      <c r="AF431" s="269"/>
      <c r="AG431" s="269"/>
      <c r="AH431" s="269"/>
      <c r="AI431" s="269"/>
      <c r="AJ431" s="269"/>
      <c r="AK431" s="269"/>
      <c r="AL431" s="269"/>
      <c r="AM431" s="269"/>
      <c r="AN431" s="269"/>
      <c r="AO431" s="269"/>
      <c r="AP431" s="269"/>
      <c r="AQ431" s="269"/>
      <c r="AR431" s="269"/>
    </row>
    <row r="432" spans="1:44">
      <c r="A432" s="269"/>
      <c r="B432" s="269"/>
      <c r="C432" s="269"/>
      <c r="D432" s="269"/>
      <c r="E432" s="269"/>
      <c r="F432" s="269"/>
      <c r="G432" s="269"/>
      <c r="H432" s="269"/>
      <c r="I432" s="269"/>
      <c r="J432" s="269"/>
      <c r="K432" s="269"/>
      <c r="L432" s="269"/>
      <c r="M432" s="269"/>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69"/>
      <c r="AK432" s="269"/>
      <c r="AL432" s="269"/>
      <c r="AM432" s="269"/>
      <c r="AN432" s="269"/>
      <c r="AO432" s="269"/>
      <c r="AP432" s="269"/>
      <c r="AQ432" s="269"/>
      <c r="AR432" s="269"/>
    </row>
    <row r="433" spans="1:44">
      <c r="A433" s="269"/>
      <c r="B433" s="269"/>
      <c r="C433" s="269"/>
      <c r="D433" s="269"/>
      <c r="E433" s="269"/>
      <c r="F433" s="269"/>
      <c r="G433" s="269"/>
      <c r="H433" s="269"/>
      <c r="I433" s="269"/>
      <c r="J433" s="269"/>
      <c r="K433" s="269"/>
      <c r="L433" s="269"/>
      <c r="M433" s="269"/>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69"/>
      <c r="AK433" s="269"/>
      <c r="AL433" s="269"/>
      <c r="AM433" s="269"/>
      <c r="AN433" s="269"/>
      <c r="AO433" s="269"/>
      <c r="AP433" s="269"/>
      <c r="AQ433" s="269"/>
      <c r="AR433" s="269"/>
    </row>
    <row r="434" spans="1:44">
      <c r="A434" s="269"/>
      <c r="B434" s="269"/>
      <c r="C434" s="269"/>
      <c r="D434" s="269"/>
      <c r="E434" s="269"/>
      <c r="F434" s="269"/>
      <c r="G434" s="269"/>
      <c r="H434" s="269"/>
      <c r="I434" s="269"/>
      <c r="J434" s="269"/>
      <c r="K434" s="269"/>
      <c r="L434" s="269"/>
      <c r="M434" s="269"/>
      <c r="N434" s="269"/>
      <c r="O434" s="269"/>
      <c r="P434" s="269"/>
      <c r="Q434" s="269"/>
      <c r="R434" s="269"/>
      <c r="S434" s="269"/>
      <c r="T434" s="269"/>
      <c r="U434" s="269"/>
      <c r="V434" s="269"/>
      <c r="W434" s="269"/>
      <c r="X434" s="269"/>
      <c r="Y434" s="269"/>
      <c r="Z434" s="269"/>
      <c r="AA434" s="269"/>
      <c r="AB434" s="269"/>
      <c r="AC434" s="269"/>
      <c r="AD434" s="269"/>
      <c r="AE434" s="269"/>
      <c r="AF434" s="269"/>
      <c r="AG434" s="269"/>
      <c r="AH434" s="269"/>
      <c r="AI434" s="269"/>
      <c r="AJ434" s="269"/>
      <c r="AK434" s="269"/>
      <c r="AL434" s="269"/>
      <c r="AM434" s="269"/>
      <c r="AN434" s="269"/>
      <c r="AO434" s="269"/>
      <c r="AP434" s="269"/>
      <c r="AQ434" s="269"/>
      <c r="AR434" s="269"/>
    </row>
    <row r="435" spans="1:44">
      <c r="A435" s="269"/>
      <c r="B435" s="269"/>
      <c r="C435" s="269"/>
      <c r="D435" s="269"/>
      <c r="E435" s="269"/>
      <c r="F435" s="269"/>
      <c r="G435" s="269"/>
      <c r="H435" s="269"/>
      <c r="I435" s="269"/>
      <c r="J435" s="269"/>
      <c r="K435" s="269"/>
      <c r="L435" s="269"/>
      <c r="M435" s="269"/>
      <c r="N435" s="269"/>
      <c r="O435" s="269"/>
      <c r="P435" s="269"/>
      <c r="Q435" s="269"/>
      <c r="R435" s="269"/>
      <c r="S435" s="269"/>
      <c r="T435" s="269"/>
      <c r="U435" s="269"/>
      <c r="V435" s="269"/>
      <c r="W435" s="269"/>
      <c r="X435" s="269"/>
      <c r="Y435" s="269"/>
      <c r="Z435" s="269"/>
      <c r="AA435" s="269"/>
      <c r="AB435" s="269"/>
      <c r="AC435" s="269"/>
      <c r="AD435" s="269"/>
      <c r="AE435" s="269"/>
      <c r="AF435" s="269"/>
      <c r="AG435" s="269"/>
      <c r="AH435" s="269"/>
      <c r="AI435" s="269"/>
      <c r="AJ435" s="269"/>
      <c r="AK435" s="269"/>
      <c r="AL435" s="269"/>
      <c r="AM435" s="269"/>
      <c r="AN435" s="269"/>
      <c r="AO435" s="269"/>
      <c r="AP435" s="269"/>
      <c r="AQ435" s="269"/>
      <c r="AR435" s="269"/>
    </row>
    <row r="436" spans="1:44">
      <c r="A436" s="269"/>
      <c r="B436" s="269"/>
      <c r="C436" s="269"/>
      <c r="D436" s="269"/>
      <c r="E436" s="269"/>
      <c r="F436" s="269"/>
      <c r="G436" s="269"/>
      <c r="H436" s="269"/>
      <c r="I436" s="269"/>
      <c r="J436" s="269"/>
      <c r="K436" s="269"/>
      <c r="L436" s="269"/>
      <c r="M436" s="269"/>
      <c r="N436" s="269"/>
      <c r="O436" s="269"/>
      <c r="P436" s="269"/>
      <c r="Q436" s="269"/>
      <c r="R436" s="269"/>
      <c r="S436" s="269"/>
      <c r="T436" s="269"/>
      <c r="U436" s="269"/>
      <c r="V436" s="269"/>
      <c r="W436" s="269"/>
      <c r="X436" s="269"/>
      <c r="Y436" s="269"/>
      <c r="Z436" s="269"/>
      <c r="AA436" s="269"/>
      <c r="AB436" s="269"/>
      <c r="AC436" s="269"/>
      <c r="AD436" s="269"/>
      <c r="AE436" s="269"/>
      <c r="AF436" s="269"/>
      <c r="AG436" s="269"/>
      <c r="AH436" s="269"/>
      <c r="AI436" s="269"/>
      <c r="AJ436" s="269"/>
      <c r="AK436" s="269"/>
      <c r="AL436" s="269"/>
      <c r="AM436" s="269"/>
      <c r="AN436" s="269"/>
      <c r="AO436" s="269"/>
      <c r="AP436" s="269"/>
      <c r="AQ436" s="269"/>
      <c r="AR436" s="269"/>
    </row>
    <row r="437" spans="1:44">
      <c r="A437" s="269"/>
      <c r="B437" s="269"/>
      <c r="C437" s="269"/>
      <c r="D437" s="269"/>
      <c r="E437" s="269"/>
      <c r="F437" s="269"/>
      <c r="G437" s="269"/>
      <c r="H437" s="269"/>
      <c r="I437" s="269"/>
      <c r="J437" s="269"/>
      <c r="K437" s="269"/>
      <c r="L437" s="269"/>
      <c r="M437" s="269"/>
      <c r="N437" s="269"/>
      <c r="O437" s="269"/>
      <c r="P437" s="269"/>
      <c r="Q437" s="269"/>
      <c r="R437" s="269"/>
      <c r="S437" s="269"/>
      <c r="T437" s="269"/>
      <c r="U437" s="269"/>
      <c r="V437" s="269"/>
      <c r="W437" s="269"/>
      <c r="X437" s="269"/>
      <c r="Y437" s="269"/>
      <c r="Z437" s="269"/>
      <c r="AA437" s="269"/>
      <c r="AB437" s="269"/>
      <c r="AC437" s="269"/>
      <c r="AD437" s="269"/>
      <c r="AE437" s="269"/>
      <c r="AF437" s="269"/>
      <c r="AG437" s="269"/>
      <c r="AH437" s="269"/>
      <c r="AI437" s="269"/>
      <c r="AJ437" s="269"/>
      <c r="AK437" s="269"/>
      <c r="AL437" s="269"/>
      <c r="AM437" s="269"/>
      <c r="AN437" s="269"/>
      <c r="AO437" s="269"/>
      <c r="AP437" s="269"/>
      <c r="AQ437" s="269"/>
      <c r="AR437" s="269"/>
    </row>
    <row r="438" spans="1:44">
      <c r="A438" s="269"/>
      <c r="B438" s="269"/>
      <c r="C438" s="269"/>
      <c r="D438" s="269"/>
      <c r="E438" s="269"/>
      <c r="F438" s="269"/>
      <c r="G438" s="269"/>
      <c r="H438" s="269"/>
      <c r="I438" s="269"/>
      <c r="J438" s="269"/>
      <c r="K438" s="269"/>
      <c r="L438" s="269"/>
      <c r="M438" s="269"/>
      <c r="N438" s="269"/>
      <c r="O438" s="269"/>
      <c r="P438" s="269"/>
      <c r="Q438" s="269"/>
      <c r="R438" s="269"/>
      <c r="S438" s="269"/>
      <c r="T438" s="269"/>
      <c r="U438" s="269"/>
      <c r="V438" s="269"/>
      <c r="W438" s="269"/>
      <c r="X438" s="269"/>
      <c r="Y438" s="269"/>
      <c r="Z438" s="269"/>
      <c r="AA438" s="269"/>
      <c r="AB438" s="269"/>
      <c r="AC438" s="269"/>
      <c r="AD438" s="269"/>
      <c r="AE438" s="269"/>
      <c r="AF438" s="269"/>
      <c r="AG438" s="269"/>
      <c r="AH438" s="269"/>
      <c r="AI438" s="269"/>
      <c r="AJ438" s="269"/>
      <c r="AK438" s="269"/>
      <c r="AL438" s="269"/>
      <c r="AM438" s="269"/>
      <c r="AN438" s="269"/>
      <c r="AO438" s="269"/>
      <c r="AP438" s="269"/>
      <c r="AQ438" s="269"/>
      <c r="AR438" s="269"/>
    </row>
    <row r="439" spans="1:44">
      <c r="A439" s="269"/>
      <c r="B439" s="269"/>
      <c r="C439" s="269"/>
      <c r="D439" s="269"/>
      <c r="E439" s="269"/>
      <c r="F439" s="269"/>
      <c r="G439" s="269"/>
      <c r="H439" s="269"/>
      <c r="I439" s="269"/>
      <c r="J439" s="269"/>
      <c r="K439" s="269"/>
      <c r="L439" s="269"/>
      <c r="M439" s="269"/>
      <c r="N439" s="269"/>
      <c r="O439" s="269"/>
      <c r="P439" s="269"/>
      <c r="Q439" s="269"/>
      <c r="R439" s="269"/>
      <c r="S439" s="269"/>
      <c r="T439" s="269"/>
      <c r="U439" s="269"/>
      <c r="V439" s="269"/>
      <c r="W439" s="269"/>
      <c r="X439" s="269"/>
      <c r="Y439" s="269"/>
      <c r="Z439" s="269"/>
      <c r="AA439" s="269"/>
      <c r="AB439" s="269"/>
      <c r="AC439" s="269"/>
      <c r="AD439" s="269"/>
      <c r="AE439" s="269"/>
      <c r="AF439" s="269"/>
      <c r="AG439" s="269"/>
      <c r="AH439" s="269"/>
      <c r="AI439" s="269"/>
      <c r="AJ439" s="269"/>
      <c r="AK439" s="269"/>
      <c r="AL439" s="269"/>
      <c r="AM439" s="269"/>
      <c r="AN439" s="269"/>
      <c r="AO439" s="269"/>
      <c r="AP439" s="269"/>
      <c r="AQ439" s="269"/>
      <c r="AR439" s="269"/>
    </row>
    <row r="440" spans="1:44">
      <c r="A440" s="269"/>
      <c r="B440" s="269"/>
      <c r="C440" s="269"/>
      <c r="D440" s="269"/>
      <c r="E440" s="269"/>
      <c r="F440" s="269"/>
      <c r="G440" s="269"/>
      <c r="H440" s="269"/>
      <c r="I440" s="269"/>
      <c r="J440" s="269"/>
      <c r="K440" s="269"/>
      <c r="L440" s="269"/>
      <c r="M440" s="269"/>
      <c r="N440" s="269"/>
      <c r="O440" s="269"/>
      <c r="P440" s="269"/>
      <c r="Q440" s="269"/>
      <c r="R440" s="269"/>
      <c r="S440" s="269"/>
      <c r="T440" s="269"/>
      <c r="U440" s="269"/>
      <c r="V440" s="269"/>
      <c r="W440" s="269"/>
      <c r="X440" s="269"/>
      <c r="Y440" s="269"/>
      <c r="Z440" s="269"/>
      <c r="AA440" s="269"/>
      <c r="AB440" s="269"/>
      <c r="AC440" s="269"/>
      <c r="AD440" s="269"/>
      <c r="AE440" s="269"/>
      <c r="AF440" s="269"/>
      <c r="AG440" s="269"/>
      <c r="AH440" s="269"/>
      <c r="AI440" s="269"/>
      <c r="AJ440" s="269"/>
      <c r="AK440" s="269"/>
      <c r="AL440" s="269"/>
      <c r="AM440" s="269"/>
      <c r="AN440" s="269"/>
      <c r="AO440" s="269"/>
      <c r="AP440" s="269"/>
      <c r="AQ440" s="269"/>
      <c r="AR440" s="269"/>
    </row>
    <row r="441" spans="1:44">
      <c r="A441" s="269"/>
      <c r="B441" s="269"/>
      <c r="C441" s="269"/>
      <c r="D441" s="269"/>
      <c r="E441" s="269"/>
      <c r="F441" s="269"/>
      <c r="G441" s="269"/>
      <c r="H441" s="269"/>
      <c r="I441" s="269"/>
      <c r="J441" s="269"/>
      <c r="K441" s="269"/>
      <c r="L441" s="269"/>
      <c r="M441" s="269"/>
      <c r="N441" s="269"/>
      <c r="O441" s="269"/>
      <c r="P441" s="269"/>
      <c r="Q441" s="269"/>
      <c r="R441" s="269"/>
      <c r="S441" s="269"/>
      <c r="T441" s="269"/>
      <c r="U441" s="269"/>
      <c r="V441" s="269"/>
      <c r="W441" s="269"/>
      <c r="X441" s="269"/>
      <c r="Y441" s="269"/>
      <c r="Z441" s="269"/>
      <c r="AA441" s="269"/>
      <c r="AB441" s="269"/>
      <c r="AC441" s="269"/>
      <c r="AD441" s="269"/>
      <c r="AE441" s="269"/>
      <c r="AF441" s="269"/>
      <c r="AG441" s="269"/>
      <c r="AH441" s="269"/>
      <c r="AI441" s="269"/>
      <c r="AJ441" s="269"/>
      <c r="AK441" s="269"/>
      <c r="AL441" s="269"/>
      <c r="AM441" s="269"/>
      <c r="AN441" s="269"/>
      <c r="AO441" s="269"/>
      <c r="AP441" s="269"/>
      <c r="AQ441" s="269"/>
      <c r="AR441" s="269"/>
    </row>
    <row r="442" spans="1:44">
      <c r="A442" s="269"/>
      <c r="B442" s="269"/>
      <c r="C442" s="269"/>
      <c r="D442" s="269"/>
      <c r="E442" s="269"/>
      <c r="F442" s="269"/>
      <c r="G442" s="269"/>
      <c r="H442" s="269"/>
      <c r="I442" s="269"/>
      <c r="J442" s="269"/>
      <c r="K442" s="269"/>
      <c r="L442" s="269"/>
      <c r="M442" s="269"/>
      <c r="N442" s="269"/>
      <c r="O442" s="269"/>
      <c r="P442" s="269"/>
      <c r="Q442" s="269"/>
      <c r="R442" s="269"/>
      <c r="S442" s="269"/>
      <c r="T442" s="269"/>
      <c r="U442" s="269"/>
      <c r="V442" s="269"/>
      <c r="W442" s="269"/>
      <c r="X442" s="269"/>
      <c r="Y442" s="269"/>
      <c r="Z442" s="269"/>
      <c r="AA442" s="269"/>
      <c r="AB442" s="269"/>
      <c r="AC442" s="269"/>
      <c r="AD442" s="269"/>
      <c r="AE442" s="269"/>
      <c r="AF442" s="269"/>
      <c r="AG442" s="269"/>
      <c r="AH442" s="269"/>
      <c r="AI442" s="269"/>
      <c r="AJ442" s="269"/>
      <c r="AK442" s="269"/>
      <c r="AL442" s="269"/>
      <c r="AM442" s="269"/>
      <c r="AN442" s="269"/>
      <c r="AO442" s="269"/>
      <c r="AP442" s="269"/>
      <c r="AQ442" s="269"/>
      <c r="AR442" s="269"/>
    </row>
    <row r="443" spans="1:44">
      <c r="A443" s="269"/>
      <c r="B443" s="269"/>
      <c r="C443" s="269"/>
      <c r="D443" s="269"/>
      <c r="E443" s="269"/>
      <c r="F443" s="269"/>
      <c r="G443" s="269"/>
      <c r="H443" s="269"/>
      <c r="I443" s="269"/>
      <c r="J443" s="269"/>
      <c r="K443" s="269"/>
      <c r="L443" s="269"/>
      <c r="M443" s="269"/>
      <c r="N443" s="269"/>
      <c r="O443" s="269"/>
      <c r="P443" s="269"/>
      <c r="Q443" s="269"/>
      <c r="R443" s="269"/>
      <c r="S443" s="269"/>
      <c r="T443" s="269"/>
      <c r="U443" s="269"/>
      <c r="V443" s="269"/>
      <c r="W443" s="269"/>
      <c r="X443" s="269"/>
      <c r="Y443" s="269"/>
      <c r="Z443" s="269"/>
      <c r="AA443" s="269"/>
      <c r="AB443" s="269"/>
      <c r="AC443" s="269"/>
      <c r="AD443" s="269"/>
      <c r="AE443" s="269"/>
      <c r="AF443" s="269"/>
      <c r="AG443" s="269"/>
      <c r="AH443" s="269"/>
      <c r="AI443" s="269"/>
      <c r="AJ443" s="269"/>
      <c r="AK443" s="269"/>
      <c r="AL443" s="269"/>
      <c r="AM443" s="269"/>
      <c r="AN443" s="269"/>
      <c r="AO443" s="269"/>
      <c r="AP443" s="269"/>
      <c r="AQ443" s="269"/>
      <c r="AR443" s="269"/>
    </row>
    <row r="444" spans="1:44">
      <c r="A444" s="269"/>
      <c r="B444" s="269"/>
      <c r="C444" s="269"/>
      <c r="D444" s="269"/>
      <c r="E444" s="269"/>
      <c r="F444" s="269"/>
      <c r="G444" s="269"/>
      <c r="H444" s="269"/>
      <c r="I444" s="269"/>
      <c r="J444" s="269"/>
      <c r="K444" s="269"/>
      <c r="L444" s="269"/>
      <c r="M444" s="269"/>
      <c r="N444" s="269"/>
      <c r="O444" s="269"/>
      <c r="P444" s="269"/>
      <c r="Q444" s="269"/>
      <c r="R444" s="269"/>
      <c r="S444" s="269"/>
      <c r="T444" s="269"/>
      <c r="U444" s="269"/>
      <c r="V444" s="269"/>
      <c r="W444" s="269"/>
      <c r="X444" s="269"/>
      <c r="Y444" s="269"/>
      <c r="Z444" s="269"/>
      <c r="AA444" s="269"/>
      <c r="AB444" s="269"/>
      <c r="AC444" s="269"/>
      <c r="AD444" s="269"/>
      <c r="AE444" s="269"/>
      <c r="AF444" s="269"/>
      <c r="AG444" s="269"/>
      <c r="AH444" s="269"/>
      <c r="AI444" s="269"/>
      <c r="AJ444" s="269"/>
      <c r="AK444" s="269"/>
      <c r="AL444" s="269"/>
      <c r="AM444" s="269"/>
      <c r="AN444" s="269"/>
      <c r="AO444" s="269"/>
      <c r="AP444" s="269"/>
      <c r="AQ444" s="269"/>
      <c r="AR444" s="269"/>
    </row>
    <row r="445" spans="1:44">
      <c r="A445" s="269"/>
      <c r="B445" s="269"/>
      <c r="C445" s="269"/>
      <c r="D445" s="269"/>
      <c r="E445" s="269"/>
      <c r="F445" s="269"/>
      <c r="G445" s="269"/>
      <c r="H445" s="269"/>
      <c r="I445" s="269"/>
      <c r="J445" s="269"/>
      <c r="K445" s="269"/>
      <c r="L445" s="269"/>
      <c r="M445" s="269"/>
      <c r="N445" s="269"/>
      <c r="O445" s="269"/>
      <c r="P445" s="269"/>
      <c r="Q445" s="269"/>
      <c r="R445" s="269"/>
      <c r="S445" s="269"/>
      <c r="T445" s="269"/>
      <c r="U445" s="269"/>
      <c r="V445" s="269"/>
      <c r="W445" s="269"/>
      <c r="X445" s="269"/>
      <c r="Y445" s="269"/>
      <c r="Z445" s="269"/>
      <c r="AA445" s="269"/>
      <c r="AB445" s="269"/>
      <c r="AC445" s="269"/>
      <c r="AD445" s="269"/>
      <c r="AE445" s="269"/>
      <c r="AF445" s="269"/>
      <c r="AG445" s="269"/>
      <c r="AH445" s="269"/>
      <c r="AI445" s="269"/>
      <c r="AJ445" s="269"/>
      <c r="AK445" s="269"/>
      <c r="AL445" s="269"/>
      <c r="AM445" s="269"/>
      <c r="AN445" s="269"/>
      <c r="AO445" s="269"/>
      <c r="AP445" s="269"/>
      <c r="AQ445" s="269"/>
      <c r="AR445" s="269"/>
    </row>
    <row r="446" spans="1:44">
      <c r="A446" s="269"/>
      <c r="B446" s="269"/>
      <c r="C446" s="269"/>
      <c r="D446" s="269"/>
      <c r="E446" s="269"/>
      <c r="F446" s="269"/>
      <c r="G446" s="269"/>
      <c r="H446" s="269"/>
      <c r="I446" s="269"/>
      <c r="J446" s="269"/>
      <c r="K446" s="269"/>
      <c r="L446" s="269"/>
      <c r="M446" s="269"/>
      <c r="N446" s="269"/>
      <c r="O446" s="269"/>
      <c r="P446" s="269"/>
      <c r="Q446" s="269"/>
      <c r="R446" s="269"/>
      <c r="S446" s="269"/>
      <c r="T446" s="269"/>
      <c r="U446" s="269"/>
      <c r="V446" s="269"/>
      <c r="W446" s="269"/>
      <c r="X446" s="269"/>
      <c r="Y446" s="269"/>
      <c r="Z446" s="269"/>
      <c r="AA446" s="269"/>
      <c r="AB446" s="269"/>
      <c r="AC446" s="269"/>
      <c r="AD446" s="269"/>
      <c r="AE446" s="269"/>
      <c r="AF446" s="269"/>
      <c r="AG446" s="269"/>
      <c r="AH446" s="269"/>
      <c r="AI446" s="269"/>
      <c r="AJ446" s="269"/>
      <c r="AK446" s="269"/>
      <c r="AL446" s="269"/>
      <c r="AM446" s="269"/>
      <c r="AN446" s="269"/>
      <c r="AO446" s="269"/>
      <c r="AP446" s="269"/>
      <c r="AQ446" s="269"/>
      <c r="AR446" s="269"/>
    </row>
    <row r="447" spans="1:44">
      <c r="A447" s="269"/>
      <c r="B447" s="269"/>
      <c r="C447" s="269"/>
      <c r="D447" s="269"/>
      <c r="E447" s="269"/>
      <c r="F447" s="269"/>
      <c r="G447" s="269"/>
      <c r="H447" s="269"/>
      <c r="I447" s="269"/>
      <c r="J447" s="269"/>
      <c r="K447" s="269"/>
      <c r="L447" s="269"/>
      <c r="M447" s="269"/>
      <c r="N447" s="269"/>
      <c r="O447" s="269"/>
      <c r="P447" s="269"/>
      <c r="Q447" s="269"/>
      <c r="R447" s="269"/>
      <c r="S447" s="269"/>
      <c r="T447" s="269"/>
      <c r="U447" s="269"/>
      <c r="V447" s="269"/>
      <c r="W447" s="269"/>
      <c r="X447" s="269"/>
      <c r="Y447" s="269"/>
      <c r="Z447" s="269"/>
      <c r="AA447" s="269"/>
      <c r="AB447" s="269"/>
      <c r="AC447" s="269"/>
      <c r="AD447" s="269"/>
      <c r="AE447" s="269"/>
      <c r="AF447" s="269"/>
      <c r="AG447" s="269"/>
      <c r="AH447" s="269"/>
      <c r="AI447" s="269"/>
      <c r="AJ447" s="269"/>
      <c r="AK447" s="269"/>
      <c r="AL447" s="269"/>
      <c r="AM447" s="269"/>
      <c r="AN447" s="269"/>
      <c r="AO447" s="269"/>
      <c r="AP447" s="269"/>
      <c r="AQ447" s="269"/>
      <c r="AR447" s="269"/>
    </row>
    <row r="448" spans="1:44">
      <c r="A448" s="269"/>
      <c r="B448" s="269"/>
      <c r="C448" s="269"/>
      <c r="D448" s="269"/>
      <c r="E448" s="269"/>
      <c r="F448" s="269"/>
      <c r="G448" s="269"/>
      <c r="H448" s="269"/>
      <c r="I448" s="269"/>
      <c r="J448" s="269"/>
      <c r="K448" s="269"/>
      <c r="L448" s="269"/>
      <c r="M448" s="269"/>
      <c r="N448" s="269"/>
      <c r="O448" s="269"/>
      <c r="P448" s="269"/>
      <c r="Q448" s="269"/>
      <c r="R448" s="269"/>
      <c r="S448" s="269"/>
      <c r="T448" s="269"/>
      <c r="U448" s="269"/>
      <c r="V448" s="269"/>
      <c r="W448" s="269"/>
      <c r="X448" s="269"/>
      <c r="Y448" s="269"/>
      <c r="Z448" s="269"/>
      <c r="AA448" s="269"/>
      <c r="AB448" s="269"/>
      <c r="AC448" s="269"/>
      <c r="AD448" s="269"/>
      <c r="AE448" s="269"/>
      <c r="AF448" s="269"/>
      <c r="AG448" s="269"/>
      <c r="AH448" s="269"/>
      <c r="AI448" s="269"/>
      <c r="AJ448" s="269"/>
      <c r="AK448" s="269"/>
      <c r="AL448" s="269"/>
      <c r="AM448" s="269"/>
      <c r="AN448" s="269"/>
      <c r="AO448" s="269"/>
      <c r="AP448" s="269"/>
      <c r="AQ448" s="269"/>
      <c r="AR448" s="269"/>
    </row>
    <row r="449" spans="1:44">
      <c r="A449" s="269"/>
      <c r="B449" s="269"/>
      <c r="C449" s="269"/>
      <c r="D449" s="269"/>
      <c r="E449" s="269"/>
      <c r="F449" s="269"/>
      <c r="G449" s="269"/>
      <c r="H449" s="269"/>
      <c r="I449" s="269"/>
      <c r="J449" s="269"/>
      <c r="K449" s="269"/>
      <c r="L449" s="269"/>
      <c r="M449" s="269"/>
      <c r="N449" s="269"/>
      <c r="O449" s="269"/>
      <c r="P449" s="269"/>
      <c r="Q449" s="269"/>
      <c r="R449" s="269"/>
      <c r="S449" s="269"/>
      <c r="T449" s="269"/>
      <c r="U449" s="269"/>
      <c r="V449" s="269"/>
      <c r="W449" s="269"/>
      <c r="X449" s="269"/>
      <c r="Y449" s="269"/>
      <c r="Z449" s="269"/>
      <c r="AA449" s="269"/>
      <c r="AB449" s="269"/>
      <c r="AC449" s="269"/>
      <c r="AD449" s="269"/>
      <c r="AE449" s="269"/>
      <c r="AF449" s="269"/>
      <c r="AG449" s="269"/>
      <c r="AH449" s="269"/>
      <c r="AI449" s="269"/>
      <c r="AJ449" s="269"/>
      <c r="AK449" s="269"/>
      <c r="AL449" s="269"/>
      <c r="AM449" s="269"/>
      <c r="AN449" s="269"/>
      <c r="AO449" s="269"/>
      <c r="AP449" s="269"/>
      <c r="AQ449" s="269"/>
      <c r="AR449" s="269"/>
    </row>
    <row r="450" spans="1:44">
      <c r="A450" s="269"/>
      <c r="B450" s="269"/>
      <c r="C450" s="269"/>
      <c r="D450" s="269"/>
      <c r="E450" s="269"/>
      <c r="F450" s="269"/>
      <c r="G450" s="269"/>
      <c r="H450" s="269"/>
      <c r="I450" s="269"/>
      <c r="J450" s="269"/>
      <c r="K450" s="269"/>
      <c r="L450" s="269"/>
      <c r="M450" s="269"/>
      <c r="N450" s="269"/>
      <c r="O450" s="269"/>
      <c r="P450" s="269"/>
      <c r="Q450" s="269"/>
      <c r="R450" s="269"/>
      <c r="S450" s="269"/>
      <c r="T450" s="269"/>
      <c r="U450" s="269"/>
      <c r="V450" s="269"/>
      <c r="W450" s="269"/>
      <c r="X450" s="269"/>
      <c r="Y450" s="269"/>
      <c r="Z450" s="269"/>
      <c r="AA450" s="269"/>
      <c r="AB450" s="269"/>
      <c r="AC450" s="269"/>
      <c r="AD450" s="269"/>
      <c r="AE450" s="269"/>
      <c r="AF450" s="269"/>
      <c r="AG450" s="269"/>
      <c r="AH450" s="269"/>
      <c r="AI450" s="269"/>
      <c r="AJ450" s="269"/>
      <c r="AK450" s="269"/>
      <c r="AL450" s="269"/>
      <c r="AM450" s="269"/>
      <c r="AN450" s="269"/>
      <c r="AO450" s="269"/>
      <c r="AP450" s="269"/>
      <c r="AQ450" s="269"/>
      <c r="AR450" s="269"/>
    </row>
    <row r="451" spans="1:44">
      <c r="A451" s="269"/>
      <c r="B451" s="269"/>
      <c r="C451" s="269"/>
      <c r="D451" s="269"/>
      <c r="E451" s="269"/>
      <c r="F451" s="269"/>
      <c r="G451" s="269"/>
      <c r="H451" s="269"/>
      <c r="I451" s="269"/>
      <c r="J451" s="269"/>
      <c r="K451" s="269"/>
      <c r="L451" s="269"/>
      <c r="M451" s="269"/>
      <c r="N451" s="269"/>
      <c r="O451" s="269"/>
      <c r="P451" s="269"/>
      <c r="Q451" s="269"/>
      <c r="R451" s="269"/>
      <c r="S451" s="269"/>
      <c r="T451" s="269"/>
      <c r="U451" s="269"/>
      <c r="V451" s="269"/>
      <c r="W451" s="269"/>
      <c r="X451" s="269"/>
      <c r="Y451" s="269"/>
      <c r="Z451" s="269"/>
      <c r="AA451" s="269"/>
      <c r="AB451" s="269"/>
      <c r="AC451" s="269"/>
      <c r="AD451" s="269"/>
      <c r="AE451" s="269"/>
      <c r="AF451" s="269"/>
      <c r="AG451" s="269"/>
      <c r="AH451" s="269"/>
      <c r="AI451" s="269"/>
      <c r="AJ451" s="269"/>
      <c r="AK451" s="269"/>
      <c r="AL451" s="269"/>
      <c r="AM451" s="269"/>
      <c r="AN451" s="269"/>
      <c r="AO451" s="269"/>
      <c r="AP451" s="269"/>
      <c r="AQ451" s="269"/>
      <c r="AR451" s="269"/>
    </row>
    <row r="452" spans="1:44">
      <c r="A452" s="269"/>
      <c r="B452" s="269"/>
      <c r="C452" s="269"/>
      <c r="D452" s="269"/>
      <c r="E452" s="269"/>
      <c r="F452" s="269"/>
      <c r="G452" s="269"/>
      <c r="H452" s="269"/>
      <c r="I452" s="269"/>
      <c r="J452" s="269"/>
      <c r="K452" s="269"/>
      <c r="L452" s="269"/>
      <c r="M452" s="269"/>
      <c r="N452" s="269"/>
      <c r="O452" s="269"/>
      <c r="P452" s="269"/>
      <c r="Q452" s="269"/>
      <c r="R452" s="269"/>
      <c r="S452" s="269"/>
      <c r="T452" s="269"/>
      <c r="U452" s="269"/>
      <c r="V452" s="269"/>
      <c r="W452" s="269"/>
      <c r="X452" s="269"/>
      <c r="Y452" s="269"/>
      <c r="Z452" s="269"/>
      <c r="AA452" s="269"/>
      <c r="AB452" s="269"/>
      <c r="AC452" s="269"/>
      <c r="AD452" s="269"/>
      <c r="AE452" s="269"/>
      <c r="AF452" s="269"/>
      <c r="AG452" s="269"/>
      <c r="AH452" s="269"/>
      <c r="AI452" s="269"/>
      <c r="AJ452" s="269"/>
      <c r="AK452" s="269"/>
      <c r="AL452" s="269"/>
      <c r="AM452" s="269"/>
      <c r="AN452" s="269"/>
      <c r="AO452" s="269"/>
      <c r="AP452" s="269"/>
      <c r="AQ452" s="269"/>
      <c r="AR452" s="269"/>
    </row>
    <row r="453" spans="1:44">
      <c r="A453" s="269"/>
      <c r="B453" s="269"/>
      <c r="C453" s="269"/>
      <c r="D453" s="269"/>
      <c r="E453" s="269"/>
      <c r="F453" s="269"/>
      <c r="G453" s="269"/>
      <c r="H453" s="269"/>
      <c r="I453" s="269"/>
      <c r="J453" s="269"/>
      <c r="K453" s="269"/>
      <c r="L453" s="269"/>
      <c r="M453" s="269"/>
      <c r="N453" s="269"/>
      <c r="O453" s="269"/>
      <c r="P453" s="269"/>
      <c r="Q453" s="269"/>
      <c r="R453" s="269"/>
      <c r="S453" s="269"/>
      <c r="T453" s="269"/>
      <c r="U453" s="269"/>
      <c r="V453" s="269"/>
      <c r="W453" s="269"/>
      <c r="X453" s="269"/>
      <c r="Y453" s="269"/>
      <c r="Z453" s="269"/>
      <c r="AA453" s="269"/>
      <c r="AB453" s="269"/>
      <c r="AC453" s="269"/>
      <c r="AD453" s="269"/>
      <c r="AE453" s="269"/>
      <c r="AF453" s="269"/>
      <c r="AG453" s="269"/>
      <c r="AH453" s="269"/>
      <c r="AI453" s="269"/>
      <c r="AJ453" s="269"/>
      <c r="AK453" s="269"/>
      <c r="AL453" s="269"/>
      <c r="AM453" s="269"/>
      <c r="AN453" s="269"/>
      <c r="AO453" s="269"/>
      <c r="AP453" s="269"/>
      <c r="AQ453" s="269"/>
      <c r="AR453" s="269"/>
    </row>
    <row r="454" spans="1:44">
      <c r="A454" s="269"/>
      <c r="B454" s="269"/>
      <c r="C454" s="269"/>
      <c r="D454" s="269"/>
      <c r="E454" s="269"/>
      <c r="F454" s="269"/>
      <c r="G454" s="269"/>
      <c r="H454" s="269"/>
      <c r="I454" s="269"/>
      <c r="J454" s="269"/>
      <c r="K454" s="269"/>
      <c r="L454" s="269"/>
      <c r="M454" s="269"/>
      <c r="N454" s="269"/>
      <c r="O454" s="269"/>
      <c r="P454" s="269"/>
      <c r="Q454" s="269"/>
      <c r="R454" s="269"/>
      <c r="S454" s="269"/>
      <c r="T454" s="269"/>
      <c r="U454" s="269"/>
      <c r="V454" s="269"/>
      <c r="W454" s="269"/>
      <c r="X454" s="269"/>
      <c r="Y454" s="269"/>
      <c r="Z454" s="269"/>
      <c r="AA454" s="269"/>
      <c r="AB454" s="269"/>
      <c r="AC454" s="269"/>
      <c r="AD454" s="269"/>
      <c r="AE454" s="269"/>
      <c r="AF454" s="269"/>
      <c r="AG454" s="269"/>
      <c r="AH454" s="269"/>
      <c r="AI454" s="269"/>
      <c r="AJ454" s="269"/>
      <c r="AK454" s="269"/>
      <c r="AL454" s="269"/>
      <c r="AM454" s="269"/>
      <c r="AN454" s="269"/>
      <c r="AO454" s="269"/>
      <c r="AP454" s="269"/>
      <c r="AQ454" s="269"/>
      <c r="AR454" s="269"/>
    </row>
    <row r="455" spans="1:44">
      <c r="A455" s="269"/>
      <c r="B455" s="269"/>
      <c r="C455" s="269"/>
      <c r="D455" s="269"/>
      <c r="E455" s="269"/>
      <c r="F455" s="269"/>
      <c r="G455" s="269"/>
      <c r="H455" s="269"/>
      <c r="I455" s="269"/>
      <c r="J455" s="269"/>
      <c r="K455" s="269"/>
      <c r="L455" s="269"/>
      <c r="M455" s="269"/>
      <c r="N455" s="269"/>
      <c r="O455" s="269"/>
      <c r="P455" s="269"/>
      <c r="Q455" s="269"/>
      <c r="R455" s="269"/>
      <c r="S455" s="269"/>
      <c r="T455" s="269"/>
      <c r="U455" s="269"/>
      <c r="V455" s="269"/>
      <c r="W455" s="269"/>
      <c r="X455" s="269"/>
      <c r="Y455" s="269"/>
      <c r="Z455" s="269"/>
      <c r="AA455" s="269"/>
      <c r="AB455" s="269"/>
      <c r="AC455" s="269"/>
      <c r="AD455" s="269"/>
      <c r="AE455" s="269"/>
      <c r="AF455" s="269"/>
      <c r="AG455" s="269"/>
      <c r="AH455" s="269"/>
      <c r="AI455" s="269"/>
      <c r="AJ455" s="269"/>
      <c r="AK455" s="269"/>
      <c r="AL455" s="269"/>
      <c r="AM455" s="269"/>
      <c r="AN455" s="269"/>
      <c r="AO455" s="269"/>
      <c r="AP455" s="269"/>
      <c r="AQ455" s="269"/>
      <c r="AR455" s="269"/>
    </row>
    <row r="456" spans="1:44">
      <c r="A456" s="269"/>
      <c r="B456" s="269"/>
      <c r="C456" s="269"/>
      <c r="D456" s="269"/>
      <c r="E456" s="269"/>
      <c r="F456" s="269"/>
      <c r="G456" s="269"/>
      <c r="H456" s="269"/>
      <c r="I456" s="269"/>
      <c r="J456" s="269"/>
      <c r="K456" s="269"/>
      <c r="L456" s="269"/>
      <c r="M456" s="269"/>
      <c r="N456" s="269"/>
      <c r="O456" s="269"/>
      <c r="P456" s="269"/>
      <c r="Q456" s="269"/>
      <c r="R456" s="269"/>
      <c r="S456" s="269"/>
      <c r="T456" s="269"/>
      <c r="U456" s="269"/>
      <c r="V456" s="269"/>
      <c r="W456" s="269"/>
      <c r="X456" s="269"/>
      <c r="Y456" s="269"/>
      <c r="Z456" s="269"/>
      <c r="AA456" s="269"/>
      <c r="AB456" s="269"/>
      <c r="AC456" s="269"/>
      <c r="AD456" s="269"/>
      <c r="AE456" s="269"/>
      <c r="AF456" s="269"/>
      <c r="AG456" s="269"/>
      <c r="AH456" s="269"/>
      <c r="AI456" s="269"/>
      <c r="AJ456" s="269"/>
      <c r="AK456" s="269"/>
      <c r="AL456" s="269"/>
      <c r="AM456" s="269"/>
      <c r="AN456" s="269"/>
      <c r="AO456" s="269"/>
      <c r="AP456" s="269"/>
      <c r="AQ456" s="269"/>
      <c r="AR456" s="269"/>
    </row>
    <row r="457" spans="1:44">
      <c r="A457" s="269"/>
      <c r="B457" s="269"/>
      <c r="C457" s="269"/>
      <c r="D457" s="269"/>
      <c r="E457" s="269"/>
      <c r="F457" s="269"/>
      <c r="G457" s="269"/>
      <c r="H457" s="269"/>
      <c r="I457" s="269"/>
      <c r="J457" s="269"/>
      <c r="K457" s="269"/>
      <c r="L457" s="269"/>
      <c r="M457" s="269"/>
      <c r="N457" s="269"/>
      <c r="O457" s="269"/>
      <c r="P457" s="269"/>
      <c r="Q457" s="269"/>
      <c r="R457" s="269"/>
      <c r="S457" s="269"/>
      <c r="T457" s="269"/>
      <c r="U457" s="269"/>
      <c r="V457" s="269"/>
      <c r="W457" s="269"/>
      <c r="X457" s="269"/>
      <c r="Y457" s="269"/>
      <c r="Z457" s="269"/>
      <c r="AA457" s="269"/>
      <c r="AB457" s="269"/>
      <c r="AC457" s="269"/>
      <c r="AD457" s="269"/>
      <c r="AE457" s="269"/>
      <c r="AF457" s="269"/>
      <c r="AG457" s="269"/>
      <c r="AH457" s="269"/>
      <c r="AI457" s="269"/>
      <c r="AJ457" s="269"/>
      <c r="AK457" s="269"/>
      <c r="AL457" s="269"/>
      <c r="AM457" s="269"/>
      <c r="AN457" s="269"/>
      <c r="AO457" s="269"/>
      <c r="AP457" s="269"/>
      <c r="AQ457" s="269"/>
      <c r="AR457" s="269"/>
    </row>
    <row r="458" spans="1:44">
      <c r="A458" s="269"/>
      <c r="B458" s="269"/>
      <c r="C458" s="269"/>
      <c r="D458" s="269"/>
      <c r="E458" s="269"/>
      <c r="F458" s="269"/>
      <c r="G458" s="269"/>
      <c r="H458" s="269"/>
      <c r="I458" s="269"/>
      <c r="J458" s="269"/>
      <c r="K458" s="269"/>
      <c r="L458" s="269"/>
      <c r="M458" s="269"/>
      <c r="N458" s="269"/>
      <c r="O458" s="269"/>
      <c r="P458" s="269"/>
      <c r="Q458" s="269"/>
      <c r="R458" s="269"/>
      <c r="S458" s="269"/>
      <c r="T458" s="269"/>
      <c r="U458" s="269"/>
      <c r="V458" s="269"/>
      <c r="W458" s="269"/>
      <c r="X458" s="269"/>
      <c r="Y458" s="269"/>
      <c r="Z458" s="269"/>
      <c r="AA458" s="269"/>
      <c r="AB458" s="269"/>
      <c r="AC458" s="269"/>
      <c r="AD458" s="269"/>
      <c r="AE458" s="269"/>
      <c r="AF458" s="269"/>
      <c r="AG458" s="269"/>
      <c r="AH458" s="269"/>
      <c r="AI458" s="269"/>
      <c r="AJ458" s="269"/>
      <c r="AK458" s="269"/>
      <c r="AL458" s="269"/>
      <c r="AM458" s="269"/>
      <c r="AN458" s="269"/>
      <c r="AO458" s="269"/>
      <c r="AP458" s="269"/>
      <c r="AQ458" s="269"/>
      <c r="AR458" s="269"/>
    </row>
    <row r="459" spans="1:44">
      <c r="A459" s="269"/>
      <c r="B459" s="269"/>
      <c r="C459" s="269"/>
      <c r="D459" s="269"/>
      <c r="E459" s="269"/>
      <c r="F459" s="269"/>
      <c r="G459" s="269"/>
      <c r="H459" s="269"/>
      <c r="I459" s="269"/>
      <c r="J459" s="269"/>
      <c r="K459" s="269"/>
      <c r="L459" s="269"/>
      <c r="M459" s="269"/>
      <c r="N459" s="269"/>
      <c r="O459" s="269"/>
      <c r="P459" s="269"/>
      <c r="Q459" s="269"/>
      <c r="R459" s="269"/>
      <c r="S459" s="269"/>
      <c r="T459" s="269"/>
      <c r="U459" s="269"/>
      <c r="V459" s="269"/>
      <c r="W459" s="269"/>
      <c r="X459" s="269"/>
      <c r="Y459" s="269"/>
      <c r="Z459" s="269"/>
      <c r="AA459" s="269"/>
      <c r="AB459" s="269"/>
      <c r="AC459" s="269"/>
      <c r="AD459" s="269"/>
      <c r="AE459" s="269"/>
      <c r="AF459" s="269"/>
      <c r="AG459" s="269"/>
      <c r="AH459" s="269"/>
      <c r="AI459" s="269"/>
      <c r="AJ459" s="269"/>
      <c r="AK459" s="269"/>
      <c r="AL459" s="269"/>
      <c r="AM459" s="269"/>
      <c r="AN459" s="269"/>
      <c r="AO459" s="269"/>
      <c r="AP459" s="269"/>
      <c r="AQ459" s="269"/>
      <c r="AR459" s="269"/>
    </row>
    <row r="460" spans="1:44">
      <c r="A460" s="269"/>
      <c r="B460" s="269"/>
      <c r="C460" s="269"/>
      <c r="D460" s="269"/>
      <c r="E460" s="269"/>
      <c r="F460" s="269"/>
      <c r="G460" s="269"/>
      <c r="H460" s="269"/>
      <c r="I460" s="269"/>
      <c r="J460" s="269"/>
      <c r="K460" s="269"/>
      <c r="L460" s="269"/>
      <c r="M460" s="269"/>
      <c r="N460" s="269"/>
      <c r="O460" s="269"/>
      <c r="P460" s="269"/>
      <c r="Q460" s="269"/>
      <c r="R460" s="269"/>
      <c r="S460" s="269"/>
      <c r="T460" s="269"/>
      <c r="U460" s="269"/>
      <c r="V460" s="269"/>
      <c r="W460" s="269"/>
      <c r="X460" s="269"/>
      <c r="Y460" s="269"/>
      <c r="Z460" s="269"/>
      <c r="AA460" s="269"/>
      <c r="AB460" s="269"/>
      <c r="AC460" s="269"/>
      <c r="AD460" s="269"/>
      <c r="AE460" s="269"/>
      <c r="AF460" s="269"/>
      <c r="AG460" s="269"/>
      <c r="AH460" s="269"/>
      <c r="AI460" s="269"/>
      <c r="AJ460" s="269"/>
      <c r="AK460" s="269"/>
      <c r="AL460" s="269"/>
      <c r="AM460" s="269"/>
      <c r="AN460" s="269"/>
      <c r="AO460" s="269"/>
      <c r="AP460" s="269"/>
      <c r="AQ460" s="269"/>
      <c r="AR460" s="269"/>
    </row>
    <row r="461" spans="1:44">
      <c r="A461" s="269"/>
      <c r="B461" s="269"/>
      <c r="C461" s="269"/>
      <c r="D461" s="269"/>
      <c r="E461" s="269"/>
      <c r="F461" s="269"/>
      <c r="G461" s="269"/>
      <c r="H461" s="269"/>
      <c r="I461" s="269"/>
      <c r="J461" s="269"/>
      <c r="K461" s="269"/>
      <c r="L461" s="269"/>
      <c r="M461" s="269"/>
      <c r="N461" s="269"/>
      <c r="O461" s="269"/>
      <c r="P461" s="269"/>
      <c r="Q461" s="269"/>
      <c r="R461" s="269"/>
      <c r="S461" s="269"/>
      <c r="T461" s="269"/>
      <c r="U461" s="269"/>
      <c r="V461" s="269"/>
      <c r="W461" s="269"/>
      <c r="X461" s="269"/>
      <c r="Y461" s="269"/>
      <c r="Z461" s="269"/>
      <c r="AA461" s="269"/>
      <c r="AB461" s="269"/>
      <c r="AC461" s="269"/>
      <c r="AD461" s="269"/>
      <c r="AE461" s="269"/>
      <c r="AF461" s="269"/>
      <c r="AG461" s="269"/>
      <c r="AH461" s="269"/>
      <c r="AI461" s="269"/>
      <c r="AJ461" s="269"/>
      <c r="AK461" s="269"/>
      <c r="AL461" s="269"/>
      <c r="AM461" s="269"/>
      <c r="AN461" s="269"/>
      <c r="AO461" s="269"/>
      <c r="AP461" s="269"/>
      <c r="AQ461" s="269"/>
      <c r="AR461" s="269"/>
    </row>
    <row r="462" spans="1:44">
      <c r="A462" s="269"/>
      <c r="B462" s="269"/>
      <c r="C462" s="269"/>
      <c r="D462" s="269"/>
      <c r="E462" s="269"/>
      <c r="F462" s="269"/>
      <c r="G462" s="269"/>
      <c r="H462" s="269"/>
      <c r="I462" s="269"/>
      <c r="J462" s="269"/>
      <c r="K462" s="269"/>
      <c r="L462" s="269"/>
      <c r="M462" s="269"/>
      <c r="N462" s="269"/>
      <c r="O462" s="269"/>
      <c r="P462" s="269"/>
      <c r="Q462" s="269"/>
      <c r="R462" s="269"/>
      <c r="S462" s="269"/>
      <c r="T462" s="269"/>
      <c r="U462" s="269"/>
      <c r="V462" s="269"/>
      <c r="W462" s="269"/>
      <c r="X462" s="269"/>
      <c r="Y462" s="269"/>
      <c r="Z462" s="269"/>
      <c r="AA462" s="269"/>
      <c r="AB462" s="269"/>
      <c r="AC462" s="269"/>
      <c r="AD462" s="269"/>
      <c r="AE462" s="269"/>
      <c r="AF462" s="269"/>
      <c r="AG462" s="269"/>
      <c r="AH462" s="269"/>
      <c r="AI462" s="269"/>
      <c r="AJ462" s="269"/>
      <c r="AK462" s="269"/>
      <c r="AL462" s="269"/>
      <c r="AM462" s="269"/>
      <c r="AN462" s="269"/>
      <c r="AO462" s="269"/>
      <c r="AP462" s="269"/>
      <c r="AQ462" s="269"/>
      <c r="AR462" s="269"/>
    </row>
    <row r="463" spans="1:44">
      <c r="A463" s="269"/>
      <c r="B463" s="269"/>
      <c r="C463" s="269"/>
      <c r="D463" s="269"/>
      <c r="E463" s="269"/>
      <c r="F463" s="269"/>
      <c r="G463" s="269"/>
      <c r="H463" s="269"/>
      <c r="I463" s="269"/>
      <c r="J463" s="269"/>
      <c r="K463" s="269"/>
      <c r="L463" s="269"/>
      <c r="M463" s="269"/>
      <c r="N463" s="269"/>
      <c r="O463" s="269"/>
      <c r="P463" s="269"/>
      <c r="Q463" s="269"/>
      <c r="R463" s="269"/>
      <c r="S463" s="269"/>
      <c r="T463" s="269"/>
      <c r="U463" s="269"/>
      <c r="V463" s="269"/>
      <c r="W463" s="269"/>
      <c r="X463" s="269"/>
      <c r="Y463" s="269"/>
      <c r="Z463" s="269"/>
      <c r="AA463" s="269"/>
      <c r="AB463" s="269"/>
      <c r="AC463" s="269"/>
      <c r="AD463" s="269"/>
      <c r="AE463" s="269"/>
      <c r="AF463" s="269"/>
      <c r="AG463" s="269"/>
      <c r="AH463" s="269"/>
      <c r="AI463" s="269"/>
      <c r="AJ463" s="269"/>
      <c r="AK463" s="269"/>
      <c r="AL463" s="269"/>
      <c r="AM463" s="269"/>
      <c r="AN463" s="269"/>
      <c r="AO463" s="269"/>
      <c r="AP463" s="269"/>
      <c r="AQ463" s="269"/>
      <c r="AR463" s="269"/>
    </row>
    <row r="464" spans="1:44">
      <c r="A464" s="269"/>
      <c r="B464" s="269"/>
      <c r="C464" s="269"/>
      <c r="D464" s="269"/>
      <c r="E464" s="269"/>
      <c r="F464" s="269"/>
      <c r="G464" s="269"/>
      <c r="H464" s="269"/>
      <c r="I464" s="269"/>
      <c r="J464" s="269"/>
      <c r="K464" s="269"/>
      <c r="L464" s="269"/>
      <c r="M464" s="269"/>
      <c r="N464" s="269"/>
      <c r="O464" s="269"/>
      <c r="P464" s="269"/>
      <c r="Q464" s="269"/>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69"/>
      <c r="AP464" s="269"/>
      <c r="AQ464" s="269"/>
      <c r="AR464" s="269"/>
    </row>
    <row r="465" spans="1:44">
      <c r="A465" s="269"/>
      <c r="B465" s="269"/>
      <c r="C465" s="269"/>
      <c r="D465" s="269"/>
      <c r="E465" s="269"/>
      <c r="F465" s="269"/>
      <c r="G465" s="269"/>
      <c r="H465" s="269"/>
      <c r="I465" s="269"/>
      <c r="J465" s="269"/>
      <c r="K465" s="269"/>
      <c r="L465" s="269"/>
      <c r="M465" s="269"/>
      <c r="N465" s="269"/>
      <c r="O465" s="269"/>
      <c r="P465" s="269"/>
      <c r="Q465" s="269"/>
      <c r="R465" s="269"/>
      <c r="S465" s="269"/>
      <c r="T465" s="269"/>
      <c r="U465" s="269"/>
      <c r="V465" s="269"/>
      <c r="W465" s="269"/>
      <c r="X465" s="269"/>
      <c r="Y465" s="269"/>
      <c r="Z465" s="269"/>
      <c r="AA465" s="269"/>
      <c r="AB465" s="269"/>
      <c r="AC465" s="269"/>
      <c r="AD465" s="269"/>
      <c r="AE465" s="269"/>
      <c r="AF465" s="269"/>
      <c r="AG465" s="269"/>
      <c r="AH465" s="269"/>
      <c r="AI465" s="269"/>
      <c r="AJ465" s="269"/>
      <c r="AK465" s="269"/>
      <c r="AL465" s="269"/>
      <c r="AM465" s="269"/>
      <c r="AN465" s="269"/>
      <c r="AO465" s="269"/>
      <c r="AP465" s="269"/>
      <c r="AQ465" s="269"/>
      <c r="AR465" s="269"/>
    </row>
    <row r="466" spans="1:44">
      <c r="A466" s="269"/>
      <c r="B466" s="269"/>
      <c r="C466" s="269"/>
      <c r="D466" s="269"/>
      <c r="E466" s="269"/>
      <c r="F466" s="269"/>
      <c r="G466" s="269"/>
      <c r="H466" s="269"/>
      <c r="I466" s="269"/>
      <c r="J466" s="269"/>
      <c r="K466" s="269"/>
      <c r="L466" s="269"/>
      <c r="M466" s="269"/>
      <c r="N466" s="269"/>
      <c r="O466" s="269"/>
      <c r="P466" s="269"/>
      <c r="Q466" s="269"/>
      <c r="R466" s="269"/>
      <c r="S466" s="269"/>
      <c r="T466" s="269"/>
      <c r="U466" s="269"/>
      <c r="V466" s="269"/>
      <c r="W466" s="269"/>
      <c r="X466" s="269"/>
      <c r="Y466" s="269"/>
      <c r="Z466" s="269"/>
      <c r="AA466" s="269"/>
      <c r="AB466" s="269"/>
      <c r="AC466" s="269"/>
      <c r="AD466" s="269"/>
      <c r="AE466" s="269"/>
      <c r="AF466" s="269"/>
      <c r="AG466" s="269"/>
      <c r="AH466" s="269"/>
      <c r="AI466" s="269"/>
      <c r="AJ466" s="269"/>
      <c r="AK466" s="269"/>
      <c r="AL466" s="269"/>
      <c r="AM466" s="269"/>
      <c r="AN466" s="269"/>
      <c r="AO466" s="269"/>
      <c r="AP466" s="269"/>
      <c r="AQ466" s="269"/>
      <c r="AR466" s="269"/>
    </row>
    <row r="467" spans="1:44">
      <c r="A467" s="269"/>
      <c r="B467" s="269"/>
      <c r="C467" s="269"/>
      <c r="D467" s="269"/>
      <c r="E467" s="269"/>
      <c r="F467" s="269"/>
      <c r="G467" s="269"/>
      <c r="H467" s="269"/>
      <c r="I467" s="269"/>
      <c r="J467" s="269"/>
      <c r="K467" s="269"/>
      <c r="L467" s="269"/>
      <c r="M467" s="269"/>
      <c r="N467" s="269"/>
      <c r="O467" s="269"/>
      <c r="P467" s="269"/>
      <c r="Q467" s="269"/>
      <c r="R467" s="269"/>
      <c r="S467" s="269"/>
      <c r="T467" s="269"/>
      <c r="U467" s="269"/>
      <c r="V467" s="269"/>
      <c r="W467" s="269"/>
      <c r="X467" s="269"/>
      <c r="Y467" s="269"/>
      <c r="Z467" s="269"/>
      <c r="AA467" s="269"/>
      <c r="AB467" s="269"/>
      <c r="AC467" s="269"/>
      <c r="AD467" s="269"/>
      <c r="AE467" s="269"/>
      <c r="AF467" s="269"/>
      <c r="AG467" s="269"/>
      <c r="AH467" s="269"/>
      <c r="AI467" s="269"/>
      <c r="AJ467" s="269"/>
      <c r="AK467" s="269"/>
      <c r="AL467" s="269"/>
      <c r="AM467" s="269"/>
      <c r="AN467" s="269"/>
      <c r="AO467" s="269"/>
      <c r="AP467" s="269"/>
      <c r="AQ467" s="269"/>
      <c r="AR467" s="269"/>
    </row>
    <row r="468" spans="1:44">
      <c r="A468" s="269"/>
      <c r="B468" s="269"/>
      <c r="C468" s="269"/>
      <c r="D468" s="269"/>
      <c r="E468" s="269"/>
      <c r="F468" s="269"/>
      <c r="G468" s="269"/>
      <c r="H468" s="269"/>
      <c r="I468" s="269"/>
      <c r="J468" s="269"/>
      <c r="K468" s="269"/>
      <c r="L468" s="269"/>
      <c r="M468" s="269"/>
      <c r="N468" s="269"/>
      <c r="O468" s="269"/>
      <c r="P468" s="269"/>
      <c r="Q468" s="269"/>
      <c r="R468" s="269"/>
      <c r="S468" s="269"/>
      <c r="T468" s="269"/>
      <c r="U468" s="269"/>
      <c r="V468" s="269"/>
      <c r="W468" s="269"/>
      <c r="X468" s="269"/>
      <c r="Y468" s="269"/>
      <c r="Z468" s="269"/>
      <c r="AA468" s="269"/>
      <c r="AB468" s="269"/>
      <c r="AC468" s="269"/>
      <c r="AD468" s="269"/>
      <c r="AE468" s="269"/>
      <c r="AF468" s="269"/>
      <c r="AG468" s="269"/>
      <c r="AH468" s="269"/>
      <c r="AI468" s="269"/>
      <c r="AJ468" s="269"/>
      <c r="AK468" s="269"/>
      <c r="AL468" s="269"/>
      <c r="AM468" s="269"/>
      <c r="AN468" s="269"/>
      <c r="AO468" s="269"/>
      <c r="AP468" s="269"/>
      <c r="AQ468" s="269"/>
      <c r="AR468" s="269"/>
    </row>
    <row r="469" spans="1:44">
      <c r="A469" s="269"/>
      <c r="B469" s="269"/>
      <c r="C469" s="269"/>
      <c r="D469" s="269"/>
      <c r="E469" s="269"/>
      <c r="F469" s="269"/>
      <c r="G469" s="269"/>
      <c r="H469" s="269"/>
      <c r="I469" s="269"/>
      <c r="J469" s="269"/>
      <c r="K469" s="269"/>
      <c r="L469" s="269"/>
      <c r="M469" s="269"/>
      <c r="N469" s="269"/>
      <c r="O469" s="269"/>
      <c r="P469" s="269"/>
      <c r="Q469" s="269"/>
      <c r="R469" s="269"/>
      <c r="S469" s="269"/>
      <c r="T469" s="269"/>
      <c r="U469" s="269"/>
      <c r="V469" s="269"/>
      <c r="W469" s="269"/>
      <c r="X469" s="269"/>
      <c r="Y469" s="269"/>
      <c r="Z469" s="269"/>
      <c r="AA469" s="269"/>
      <c r="AB469" s="269"/>
      <c r="AC469" s="269"/>
      <c r="AD469" s="269"/>
      <c r="AE469" s="269"/>
      <c r="AF469" s="269"/>
      <c r="AG469" s="269"/>
      <c r="AH469" s="269"/>
      <c r="AI469" s="269"/>
      <c r="AJ469" s="269"/>
      <c r="AK469" s="269"/>
      <c r="AL469" s="269"/>
      <c r="AM469" s="269"/>
      <c r="AN469" s="269"/>
      <c r="AO469" s="269"/>
      <c r="AP469" s="269"/>
      <c r="AQ469" s="269"/>
      <c r="AR469" s="269"/>
    </row>
    <row r="470" spans="1:44">
      <c r="A470" s="269"/>
      <c r="B470" s="269"/>
      <c r="C470" s="269"/>
      <c r="D470" s="269"/>
      <c r="E470" s="269"/>
      <c r="F470" s="269"/>
      <c r="G470" s="269"/>
      <c r="H470" s="269"/>
      <c r="I470" s="269"/>
      <c r="J470" s="269"/>
      <c r="K470" s="269"/>
      <c r="L470" s="269"/>
      <c r="M470" s="269"/>
      <c r="N470" s="269"/>
      <c r="O470" s="269"/>
      <c r="P470" s="269"/>
      <c r="Q470" s="269"/>
      <c r="R470" s="269"/>
      <c r="S470" s="269"/>
      <c r="T470" s="269"/>
      <c r="U470" s="269"/>
      <c r="V470" s="269"/>
      <c r="W470" s="269"/>
      <c r="X470" s="269"/>
      <c r="Y470" s="269"/>
      <c r="Z470" s="269"/>
      <c r="AA470" s="269"/>
      <c r="AB470" s="269"/>
      <c r="AC470" s="269"/>
      <c r="AD470" s="269"/>
      <c r="AE470" s="269"/>
      <c r="AF470" s="269"/>
      <c r="AG470" s="269"/>
      <c r="AH470" s="269"/>
      <c r="AI470" s="269"/>
      <c r="AJ470" s="269"/>
      <c r="AK470" s="269"/>
      <c r="AL470" s="269"/>
      <c r="AM470" s="269"/>
      <c r="AN470" s="269"/>
      <c r="AO470" s="269"/>
      <c r="AP470" s="269"/>
      <c r="AQ470" s="269"/>
      <c r="AR470" s="269"/>
    </row>
    <row r="471" spans="1:44">
      <c r="A471" s="269"/>
      <c r="B471" s="269"/>
      <c r="C471" s="269"/>
      <c r="D471" s="269"/>
      <c r="E471" s="269"/>
      <c r="F471" s="269"/>
      <c r="G471" s="269"/>
      <c r="H471" s="269"/>
      <c r="I471" s="269"/>
      <c r="J471" s="269"/>
      <c r="K471" s="269"/>
      <c r="L471" s="269"/>
      <c r="M471" s="269"/>
      <c r="N471" s="269"/>
      <c r="O471" s="269"/>
      <c r="P471" s="269"/>
      <c r="Q471" s="269"/>
      <c r="R471" s="269"/>
      <c r="S471" s="269"/>
      <c r="T471" s="269"/>
      <c r="U471" s="269"/>
      <c r="V471" s="269"/>
      <c r="W471" s="269"/>
      <c r="X471" s="269"/>
      <c r="Y471" s="269"/>
      <c r="Z471" s="269"/>
      <c r="AA471" s="269"/>
      <c r="AB471" s="269"/>
      <c r="AC471" s="269"/>
      <c r="AD471" s="269"/>
      <c r="AE471" s="269"/>
      <c r="AF471" s="269"/>
      <c r="AG471" s="269"/>
      <c r="AH471" s="269"/>
      <c r="AI471" s="269"/>
      <c r="AJ471" s="269"/>
      <c r="AK471" s="269"/>
      <c r="AL471" s="269"/>
      <c r="AM471" s="269"/>
      <c r="AN471" s="269"/>
      <c r="AO471" s="269"/>
      <c r="AP471" s="269"/>
      <c r="AQ471" s="269"/>
      <c r="AR471" s="269"/>
    </row>
    <row r="472" spans="1:44">
      <c r="A472" s="269"/>
      <c r="B472" s="269"/>
      <c r="C472" s="269"/>
      <c r="D472" s="269"/>
      <c r="E472" s="269"/>
      <c r="F472" s="269"/>
      <c r="G472" s="269"/>
      <c r="H472" s="269"/>
      <c r="I472" s="269"/>
      <c r="J472" s="269"/>
      <c r="K472" s="269"/>
      <c r="L472" s="269"/>
      <c r="M472" s="269"/>
      <c r="N472" s="269"/>
      <c r="O472" s="269"/>
      <c r="P472" s="269"/>
      <c r="Q472" s="269"/>
      <c r="R472" s="269"/>
      <c r="S472" s="269"/>
      <c r="T472" s="269"/>
      <c r="U472" s="269"/>
      <c r="V472" s="269"/>
      <c r="W472" s="269"/>
      <c r="X472" s="269"/>
      <c r="Y472" s="269"/>
      <c r="Z472" s="269"/>
      <c r="AA472" s="269"/>
      <c r="AB472" s="269"/>
      <c r="AC472" s="269"/>
      <c r="AD472" s="269"/>
      <c r="AE472" s="269"/>
      <c r="AF472" s="269"/>
      <c r="AG472" s="269"/>
      <c r="AH472" s="269"/>
      <c r="AI472" s="269"/>
      <c r="AJ472" s="269"/>
      <c r="AK472" s="269"/>
      <c r="AL472" s="269"/>
      <c r="AM472" s="269"/>
      <c r="AN472" s="269"/>
      <c r="AO472" s="269"/>
      <c r="AP472" s="269"/>
      <c r="AQ472" s="269"/>
      <c r="AR472" s="269"/>
    </row>
    <row r="473" spans="1:44">
      <c r="A473" s="269"/>
      <c r="B473" s="269"/>
      <c r="C473" s="269"/>
      <c r="D473" s="269"/>
      <c r="E473" s="269"/>
      <c r="F473" s="269"/>
      <c r="G473" s="269"/>
      <c r="H473" s="269"/>
      <c r="I473" s="269"/>
      <c r="J473" s="269"/>
      <c r="K473" s="269"/>
      <c r="L473" s="269"/>
      <c r="M473" s="269"/>
      <c r="N473" s="269"/>
      <c r="O473" s="269"/>
      <c r="P473" s="269"/>
      <c r="Q473" s="269"/>
      <c r="R473" s="269"/>
      <c r="S473" s="269"/>
      <c r="T473" s="269"/>
      <c r="U473" s="269"/>
      <c r="V473" s="269"/>
      <c r="W473" s="269"/>
      <c r="X473" s="269"/>
      <c r="Y473" s="269"/>
      <c r="Z473" s="269"/>
      <c r="AA473" s="269"/>
      <c r="AB473" s="269"/>
      <c r="AC473" s="269"/>
      <c r="AD473" s="269"/>
      <c r="AE473" s="269"/>
      <c r="AF473" s="269"/>
      <c r="AG473" s="269"/>
      <c r="AH473" s="269"/>
      <c r="AI473" s="269"/>
      <c r="AJ473" s="269"/>
      <c r="AK473" s="269"/>
      <c r="AL473" s="269"/>
      <c r="AM473" s="269"/>
      <c r="AN473" s="269"/>
      <c r="AO473" s="269"/>
      <c r="AP473" s="269"/>
      <c r="AQ473" s="269"/>
      <c r="AR473" s="269"/>
    </row>
    <row r="474" spans="1:44">
      <c r="A474" s="269"/>
      <c r="B474" s="269"/>
      <c r="C474" s="269"/>
      <c r="D474" s="269"/>
      <c r="E474" s="269"/>
      <c r="F474" s="269"/>
      <c r="G474" s="269"/>
      <c r="H474" s="269"/>
      <c r="I474" s="269"/>
      <c r="J474" s="269"/>
      <c r="K474" s="269"/>
      <c r="L474" s="269"/>
      <c r="M474" s="269"/>
      <c r="N474" s="269"/>
      <c r="O474" s="269"/>
      <c r="P474" s="269"/>
      <c r="Q474" s="269"/>
      <c r="R474" s="269"/>
      <c r="S474" s="269"/>
      <c r="T474" s="269"/>
      <c r="U474" s="269"/>
      <c r="V474" s="269"/>
      <c r="W474" s="269"/>
      <c r="X474" s="269"/>
      <c r="Y474" s="269"/>
      <c r="Z474" s="269"/>
      <c r="AA474" s="269"/>
      <c r="AB474" s="269"/>
      <c r="AC474" s="269"/>
      <c r="AD474" s="269"/>
      <c r="AE474" s="269"/>
      <c r="AF474" s="269"/>
      <c r="AG474" s="269"/>
      <c r="AH474" s="269"/>
      <c r="AI474" s="269"/>
      <c r="AJ474" s="269"/>
      <c r="AK474" s="269"/>
      <c r="AL474" s="269"/>
      <c r="AM474" s="269"/>
      <c r="AN474" s="269"/>
      <c r="AO474" s="269"/>
      <c r="AP474" s="269"/>
      <c r="AQ474" s="269"/>
      <c r="AR474" s="269"/>
    </row>
    <row r="475" spans="1:44">
      <c r="A475" s="269"/>
      <c r="B475" s="269"/>
      <c r="C475" s="269"/>
      <c r="D475" s="269"/>
      <c r="E475" s="269"/>
      <c r="F475" s="269"/>
      <c r="G475" s="269"/>
      <c r="H475" s="269"/>
      <c r="I475" s="269"/>
      <c r="J475" s="269"/>
      <c r="K475" s="269"/>
      <c r="L475" s="269"/>
      <c r="M475" s="269"/>
      <c r="N475" s="269"/>
      <c r="O475" s="269"/>
      <c r="P475" s="269"/>
      <c r="Q475" s="269"/>
      <c r="R475" s="269"/>
      <c r="S475" s="269"/>
      <c r="T475" s="269"/>
      <c r="U475" s="269"/>
      <c r="V475" s="269"/>
      <c r="W475" s="269"/>
      <c r="X475" s="269"/>
      <c r="Y475" s="269"/>
      <c r="Z475" s="269"/>
      <c r="AA475" s="269"/>
      <c r="AB475" s="269"/>
      <c r="AC475" s="269"/>
      <c r="AD475" s="269"/>
      <c r="AE475" s="269"/>
      <c r="AF475" s="269"/>
      <c r="AG475" s="269"/>
      <c r="AH475" s="269"/>
      <c r="AI475" s="269"/>
      <c r="AJ475" s="269"/>
      <c r="AK475" s="269"/>
      <c r="AL475" s="269"/>
      <c r="AM475" s="269"/>
      <c r="AN475" s="269"/>
      <c r="AO475" s="269"/>
      <c r="AP475" s="269"/>
      <c r="AQ475" s="269"/>
      <c r="AR475" s="269"/>
    </row>
    <row r="476" spans="1:44">
      <c r="A476" s="269"/>
      <c r="B476" s="269"/>
      <c r="C476" s="269"/>
      <c r="D476" s="269"/>
      <c r="E476" s="269"/>
      <c r="F476" s="269"/>
      <c r="G476" s="269"/>
      <c r="H476" s="269"/>
      <c r="I476" s="269"/>
      <c r="J476" s="269"/>
      <c r="K476" s="269"/>
      <c r="L476" s="269"/>
      <c r="M476" s="269"/>
      <c r="N476" s="269"/>
      <c r="O476" s="269"/>
      <c r="P476" s="269"/>
      <c r="Q476" s="269"/>
      <c r="R476" s="269"/>
      <c r="S476" s="269"/>
      <c r="T476" s="269"/>
      <c r="U476" s="269"/>
      <c r="V476" s="269"/>
      <c r="W476" s="269"/>
      <c r="X476" s="269"/>
      <c r="Y476" s="269"/>
      <c r="Z476" s="269"/>
      <c r="AA476" s="269"/>
      <c r="AB476" s="269"/>
      <c r="AC476" s="269"/>
      <c r="AD476" s="269"/>
      <c r="AE476" s="269"/>
      <c r="AF476" s="269"/>
      <c r="AG476" s="269"/>
      <c r="AH476" s="269"/>
      <c r="AI476" s="269"/>
      <c r="AJ476" s="269"/>
      <c r="AK476" s="269"/>
      <c r="AL476" s="269"/>
      <c r="AM476" s="269"/>
      <c r="AN476" s="269"/>
      <c r="AO476" s="269"/>
      <c r="AP476" s="269"/>
      <c r="AQ476" s="269"/>
      <c r="AR476" s="269"/>
    </row>
    <row r="477" spans="1:44">
      <c r="A477" s="269"/>
      <c r="B477" s="269"/>
      <c r="C477" s="269"/>
      <c r="D477" s="269"/>
      <c r="E477" s="269"/>
      <c r="F477" s="269"/>
      <c r="G477" s="269"/>
      <c r="H477" s="269"/>
      <c r="I477" s="269"/>
      <c r="J477" s="269"/>
      <c r="K477" s="269"/>
      <c r="L477" s="269"/>
      <c r="M477" s="269"/>
      <c r="N477" s="269"/>
      <c r="O477" s="269"/>
      <c r="P477" s="269"/>
      <c r="Q477" s="269"/>
      <c r="R477" s="269"/>
      <c r="S477" s="269"/>
      <c r="T477" s="269"/>
      <c r="U477" s="269"/>
      <c r="V477" s="269"/>
      <c r="W477" s="269"/>
      <c r="X477" s="269"/>
      <c r="Y477" s="269"/>
      <c r="Z477" s="269"/>
      <c r="AA477" s="269"/>
      <c r="AB477" s="269"/>
      <c r="AC477" s="269"/>
      <c r="AD477" s="269"/>
      <c r="AE477" s="269"/>
      <c r="AF477" s="269"/>
      <c r="AG477" s="269"/>
      <c r="AH477" s="269"/>
      <c r="AI477" s="269"/>
      <c r="AJ477" s="269"/>
      <c r="AK477" s="269"/>
      <c r="AL477" s="269"/>
      <c r="AM477" s="269"/>
      <c r="AN477" s="269"/>
      <c r="AO477" s="269"/>
      <c r="AP477" s="269"/>
      <c r="AQ477" s="269"/>
      <c r="AR477" s="269"/>
    </row>
    <row r="478" spans="1:44">
      <c r="A478" s="269"/>
      <c r="B478" s="269"/>
      <c r="C478" s="269"/>
      <c r="D478" s="269"/>
      <c r="E478" s="269"/>
      <c r="F478" s="269"/>
      <c r="G478" s="269"/>
      <c r="H478" s="269"/>
      <c r="I478" s="269"/>
      <c r="J478" s="269"/>
      <c r="K478" s="269"/>
      <c r="L478" s="269"/>
      <c r="M478" s="269"/>
      <c r="N478" s="269"/>
      <c r="O478" s="269"/>
      <c r="P478" s="269"/>
      <c r="Q478" s="269"/>
      <c r="R478" s="269"/>
      <c r="S478" s="269"/>
      <c r="T478" s="269"/>
      <c r="U478" s="269"/>
      <c r="V478" s="269"/>
      <c r="W478" s="269"/>
      <c r="X478" s="269"/>
      <c r="Y478" s="269"/>
      <c r="Z478" s="269"/>
      <c r="AA478" s="269"/>
      <c r="AB478" s="269"/>
      <c r="AC478" s="269"/>
      <c r="AD478" s="269"/>
      <c r="AE478" s="269"/>
      <c r="AF478" s="269"/>
      <c r="AG478" s="269"/>
      <c r="AH478" s="269"/>
      <c r="AI478" s="269"/>
      <c r="AJ478" s="269"/>
      <c r="AK478" s="269"/>
      <c r="AL478" s="269"/>
      <c r="AM478" s="269"/>
      <c r="AN478" s="269"/>
      <c r="AO478" s="269"/>
      <c r="AP478" s="269"/>
      <c r="AQ478" s="269"/>
      <c r="AR478" s="269"/>
    </row>
    <row r="479" spans="1:44">
      <c r="A479" s="269"/>
      <c r="B479" s="269"/>
      <c r="C479" s="269"/>
      <c r="D479" s="269"/>
      <c r="E479" s="269"/>
      <c r="F479" s="269"/>
      <c r="G479" s="269"/>
      <c r="H479" s="269"/>
      <c r="I479" s="269"/>
      <c r="J479" s="269"/>
      <c r="K479" s="269"/>
      <c r="L479" s="269"/>
      <c r="M479" s="269"/>
      <c r="N479" s="269"/>
      <c r="O479" s="269"/>
      <c r="P479" s="269"/>
      <c r="Q479" s="269"/>
      <c r="R479" s="269"/>
      <c r="S479" s="269"/>
      <c r="T479" s="269"/>
      <c r="U479" s="269"/>
      <c r="V479" s="269"/>
      <c r="W479" s="269"/>
      <c r="X479" s="269"/>
      <c r="Y479" s="269"/>
      <c r="Z479" s="269"/>
      <c r="AA479" s="269"/>
      <c r="AB479" s="269"/>
      <c r="AC479" s="269"/>
      <c r="AD479" s="269"/>
      <c r="AE479" s="269"/>
      <c r="AF479" s="269"/>
      <c r="AG479" s="269"/>
      <c r="AH479" s="269"/>
      <c r="AI479" s="269"/>
      <c r="AJ479" s="269"/>
      <c r="AK479" s="269"/>
      <c r="AL479" s="269"/>
      <c r="AM479" s="269"/>
      <c r="AN479" s="269"/>
      <c r="AO479" s="269"/>
      <c r="AP479" s="269"/>
      <c r="AQ479" s="269"/>
      <c r="AR479" s="269"/>
    </row>
    <row r="480" spans="1:44">
      <c r="A480" s="269"/>
      <c r="B480" s="269"/>
      <c r="C480" s="269"/>
      <c r="D480" s="269"/>
      <c r="E480" s="269"/>
      <c r="F480" s="269"/>
      <c r="G480" s="269"/>
      <c r="H480" s="269"/>
      <c r="I480" s="269"/>
      <c r="J480" s="269"/>
      <c r="K480" s="269"/>
      <c r="L480" s="269"/>
      <c r="M480" s="269"/>
      <c r="N480" s="269"/>
      <c r="O480" s="269"/>
      <c r="P480" s="269"/>
      <c r="Q480" s="269"/>
      <c r="R480" s="269"/>
      <c r="S480" s="269"/>
      <c r="T480" s="269"/>
      <c r="U480" s="269"/>
      <c r="V480" s="269"/>
      <c r="W480" s="269"/>
      <c r="X480" s="269"/>
      <c r="Y480" s="269"/>
      <c r="Z480" s="269"/>
      <c r="AA480" s="269"/>
      <c r="AB480" s="269"/>
      <c r="AC480" s="269"/>
      <c r="AD480" s="269"/>
      <c r="AE480" s="269"/>
      <c r="AF480" s="269"/>
      <c r="AG480" s="269"/>
      <c r="AH480" s="269"/>
      <c r="AI480" s="269"/>
      <c r="AJ480" s="269"/>
      <c r="AK480" s="269"/>
      <c r="AL480" s="269"/>
      <c r="AM480" s="269"/>
      <c r="AN480" s="269"/>
      <c r="AO480" s="269"/>
      <c r="AP480" s="269"/>
      <c r="AQ480" s="269"/>
      <c r="AR480" s="269"/>
    </row>
    <row r="481" spans="1:44">
      <c r="A481" s="269"/>
      <c r="B481" s="269"/>
      <c r="C481" s="269"/>
      <c r="D481" s="269"/>
      <c r="E481" s="269"/>
      <c r="F481" s="269"/>
      <c r="G481" s="269"/>
      <c r="H481" s="269"/>
      <c r="I481" s="269"/>
      <c r="J481" s="269"/>
      <c r="K481" s="269"/>
      <c r="L481" s="269"/>
      <c r="M481" s="269"/>
      <c r="N481" s="269"/>
      <c r="O481" s="269"/>
      <c r="P481" s="269"/>
      <c r="Q481" s="269"/>
      <c r="R481" s="269"/>
      <c r="S481" s="269"/>
      <c r="T481" s="269"/>
      <c r="U481" s="269"/>
      <c r="V481" s="269"/>
      <c r="W481" s="269"/>
      <c r="X481" s="269"/>
      <c r="Y481" s="269"/>
      <c r="Z481" s="269"/>
      <c r="AA481" s="269"/>
      <c r="AB481" s="269"/>
      <c r="AC481" s="269"/>
      <c r="AD481" s="269"/>
      <c r="AE481" s="269"/>
      <c r="AF481" s="269"/>
      <c r="AG481" s="269"/>
      <c r="AH481" s="269"/>
      <c r="AI481" s="269"/>
      <c r="AJ481" s="269"/>
      <c r="AK481" s="269"/>
      <c r="AL481" s="269"/>
      <c r="AM481" s="269"/>
      <c r="AN481" s="269"/>
      <c r="AO481" s="269"/>
      <c r="AP481" s="269"/>
      <c r="AQ481" s="269"/>
      <c r="AR481" s="269"/>
    </row>
    <row r="482" spans="1:44">
      <c r="A482" s="269"/>
      <c r="B482" s="269"/>
      <c r="C482" s="269"/>
      <c r="D482" s="269"/>
      <c r="E482" s="269"/>
      <c r="F482" s="269"/>
      <c r="G482" s="269"/>
      <c r="H482" s="269"/>
      <c r="I482" s="269"/>
      <c r="J482" s="269"/>
      <c r="K482" s="269"/>
      <c r="L482" s="269"/>
      <c r="M482" s="269"/>
      <c r="N482" s="269"/>
      <c r="O482" s="269"/>
      <c r="P482" s="269"/>
      <c r="Q482" s="269"/>
      <c r="R482" s="269"/>
      <c r="S482" s="269"/>
      <c r="T482" s="269"/>
      <c r="U482" s="269"/>
      <c r="V482" s="269"/>
      <c r="W482" s="269"/>
      <c r="X482" s="269"/>
      <c r="Y482" s="269"/>
      <c r="Z482" s="269"/>
      <c r="AA482" s="269"/>
      <c r="AB482" s="269"/>
      <c r="AC482" s="269"/>
      <c r="AD482" s="269"/>
      <c r="AE482" s="269"/>
      <c r="AF482" s="269"/>
      <c r="AG482" s="269"/>
      <c r="AH482" s="269"/>
      <c r="AI482" s="269"/>
      <c r="AJ482" s="269"/>
      <c r="AK482" s="269"/>
      <c r="AL482" s="269"/>
      <c r="AM482" s="269"/>
      <c r="AN482" s="269"/>
      <c r="AO482" s="269"/>
      <c r="AP482" s="269"/>
      <c r="AQ482" s="269"/>
      <c r="AR482" s="269"/>
    </row>
    <row r="483" spans="1:44">
      <c r="A483" s="269"/>
      <c r="B483" s="269"/>
      <c r="C483" s="269"/>
      <c r="D483" s="269"/>
      <c r="E483" s="269"/>
      <c r="F483" s="269"/>
      <c r="G483" s="269"/>
      <c r="H483" s="269"/>
      <c r="I483" s="269"/>
      <c r="J483" s="269"/>
      <c r="K483" s="269"/>
      <c r="L483" s="269"/>
      <c r="M483" s="269"/>
      <c r="N483" s="269"/>
      <c r="O483" s="269"/>
      <c r="P483" s="269"/>
      <c r="Q483" s="269"/>
      <c r="R483" s="269"/>
      <c r="S483" s="269"/>
      <c r="T483" s="269"/>
      <c r="U483" s="269"/>
      <c r="V483" s="269"/>
      <c r="W483" s="269"/>
      <c r="X483" s="269"/>
      <c r="Y483" s="269"/>
      <c r="Z483" s="269"/>
      <c r="AA483" s="269"/>
      <c r="AB483" s="269"/>
      <c r="AC483" s="269"/>
      <c r="AD483" s="269"/>
      <c r="AE483" s="269"/>
      <c r="AF483" s="269"/>
      <c r="AG483" s="269"/>
      <c r="AH483" s="269"/>
      <c r="AI483" s="269"/>
      <c r="AJ483" s="269"/>
      <c r="AK483" s="269"/>
      <c r="AL483" s="269"/>
      <c r="AM483" s="269"/>
      <c r="AN483" s="269"/>
      <c r="AO483" s="269"/>
      <c r="AP483" s="269"/>
      <c r="AQ483" s="269"/>
      <c r="AR483" s="269"/>
    </row>
    <row r="484" spans="1:44">
      <c r="A484" s="269"/>
      <c r="B484" s="269"/>
      <c r="C484" s="269"/>
      <c r="D484" s="269"/>
      <c r="E484" s="269"/>
      <c r="F484" s="269"/>
      <c r="G484" s="269"/>
      <c r="H484" s="269"/>
      <c r="I484" s="269"/>
      <c r="J484" s="269"/>
      <c r="K484" s="269"/>
      <c r="L484" s="269"/>
      <c r="M484" s="269"/>
      <c r="N484" s="269"/>
      <c r="O484" s="269"/>
      <c r="P484" s="269"/>
      <c r="Q484" s="269"/>
      <c r="R484" s="269"/>
      <c r="S484" s="269"/>
      <c r="T484" s="269"/>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row>
    <row r="485" spans="1:44">
      <c r="A485" s="269"/>
      <c r="B485" s="269"/>
      <c r="C485" s="269"/>
      <c r="D485" s="269"/>
      <c r="E485" s="269"/>
      <c r="F485" s="269"/>
      <c r="G485" s="269"/>
      <c r="H485" s="269"/>
      <c r="I485" s="269"/>
      <c r="J485" s="269"/>
      <c r="K485" s="269"/>
      <c r="L485" s="269"/>
      <c r="M485" s="269"/>
      <c r="N485" s="269"/>
      <c r="O485" s="269"/>
      <c r="P485" s="269"/>
      <c r="Q485" s="269"/>
      <c r="R485" s="269"/>
      <c r="S485" s="269"/>
      <c r="T485" s="269"/>
      <c r="U485" s="269"/>
      <c r="V485" s="269"/>
      <c r="W485" s="269"/>
      <c r="X485" s="269"/>
      <c r="Y485" s="269"/>
      <c r="Z485" s="269"/>
      <c r="AA485" s="269"/>
      <c r="AB485" s="269"/>
      <c r="AC485" s="269"/>
      <c r="AD485" s="269"/>
      <c r="AE485" s="269"/>
      <c r="AF485" s="269"/>
      <c r="AG485" s="269"/>
      <c r="AH485" s="269"/>
      <c r="AI485" s="269"/>
      <c r="AJ485" s="269"/>
      <c r="AK485" s="269"/>
      <c r="AL485" s="269"/>
      <c r="AM485" s="269"/>
      <c r="AN485" s="269"/>
      <c r="AO485" s="269"/>
      <c r="AP485" s="269"/>
      <c r="AQ485" s="269"/>
      <c r="AR485" s="269"/>
    </row>
    <row r="486" spans="1:44">
      <c r="A486" s="269"/>
      <c r="B486" s="269"/>
      <c r="C486" s="269"/>
      <c r="D486" s="269"/>
      <c r="E486" s="269"/>
      <c r="F486" s="269"/>
      <c r="G486" s="269"/>
      <c r="H486" s="269"/>
      <c r="I486" s="269"/>
      <c r="J486" s="269"/>
      <c r="K486" s="269"/>
      <c r="L486" s="269"/>
      <c r="M486" s="269"/>
      <c r="N486" s="269"/>
      <c r="O486" s="269"/>
      <c r="P486" s="269"/>
      <c r="Q486" s="269"/>
      <c r="R486" s="269"/>
      <c r="S486" s="269"/>
      <c r="T486" s="269"/>
      <c r="U486" s="269"/>
      <c r="V486" s="269"/>
      <c r="W486" s="269"/>
      <c r="X486" s="269"/>
      <c r="Y486" s="269"/>
      <c r="Z486" s="269"/>
      <c r="AA486" s="269"/>
      <c r="AB486" s="269"/>
      <c r="AC486" s="269"/>
      <c r="AD486" s="269"/>
      <c r="AE486" s="269"/>
      <c r="AF486" s="269"/>
      <c r="AG486" s="269"/>
      <c r="AH486" s="269"/>
      <c r="AI486" s="269"/>
      <c r="AJ486" s="269"/>
      <c r="AK486" s="269"/>
      <c r="AL486" s="269"/>
      <c r="AM486" s="269"/>
      <c r="AN486" s="269"/>
      <c r="AO486" s="269"/>
      <c r="AP486" s="269"/>
      <c r="AQ486" s="269"/>
      <c r="AR486" s="269"/>
    </row>
    <row r="487" spans="1:44">
      <c r="A487" s="269"/>
      <c r="B487" s="269"/>
      <c r="C487" s="269"/>
      <c r="D487" s="269"/>
      <c r="E487" s="269"/>
      <c r="F487" s="269"/>
      <c r="G487" s="269"/>
      <c r="H487" s="269"/>
      <c r="I487" s="269"/>
      <c r="J487" s="269"/>
      <c r="K487" s="269"/>
      <c r="L487" s="269"/>
      <c r="M487" s="269"/>
      <c r="N487" s="269"/>
      <c r="O487" s="269"/>
      <c r="P487" s="269"/>
      <c r="Q487" s="269"/>
      <c r="R487" s="269"/>
      <c r="S487" s="269"/>
      <c r="T487" s="269"/>
      <c r="U487" s="269"/>
      <c r="V487" s="269"/>
      <c r="W487" s="269"/>
      <c r="X487" s="269"/>
      <c r="Y487" s="269"/>
      <c r="Z487" s="269"/>
      <c r="AA487" s="269"/>
      <c r="AB487" s="269"/>
      <c r="AC487" s="269"/>
      <c r="AD487" s="269"/>
      <c r="AE487" s="269"/>
      <c r="AF487" s="269"/>
      <c r="AG487" s="269"/>
      <c r="AH487" s="269"/>
      <c r="AI487" s="269"/>
      <c r="AJ487" s="269"/>
      <c r="AK487" s="269"/>
      <c r="AL487" s="269"/>
      <c r="AM487" s="269"/>
      <c r="AN487" s="269"/>
      <c r="AO487" s="269"/>
      <c r="AP487" s="269"/>
      <c r="AQ487" s="269"/>
      <c r="AR487" s="269"/>
    </row>
    <row r="488" spans="1:44">
      <c r="A488" s="269"/>
      <c r="B488" s="269"/>
      <c r="C488" s="269"/>
      <c r="D488" s="269"/>
      <c r="E488" s="269"/>
      <c r="F488" s="269"/>
      <c r="G488" s="269"/>
      <c r="H488" s="269"/>
      <c r="I488" s="269"/>
      <c r="J488" s="269"/>
      <c r="K488" s="269"/>
      <c r="L488" s="269"/>
      <c r="M488" s="269"/>
      <c r="N488" s="269"/>
      <c r="O488" s="269"/>
      <c r="P488" s="269"/>
      <c r="Q488" s="269"/>
      <c r="R488" s="269"/>
      <c r="S488" s="269"/>
      <c r="T488" s="269"/>
      <c r="U488" s="269"/>
      <c r="V488" s="269"/>
      <c r="W488" s="269"/>
      <c r="X488" s="269"/>
      <c r="Y488" s="269"/>
      <c r="Z488" s="269"/>
      <c r="AA488" s="269"/>
      <c r="AB488" s="269"/>
      <c r="AC488" s="269"/>
      <c r="AD488" s="269"/>
      <c r="AE488" s="269"/>
      <c r="AF488" s="269"/>
      <c r="AG488" s="269"/>
      <c r="AH488" s="269"/>
      <c r="AI488" s="269"/>
      <c r="AJ488" s="269"/>
      <c r="AK488" s="269"/>
      <c r="AL488" s="269"/>
      <c r="AM488" s="269"/>
      <c r="AN488" s="269"/>
      <c r="AO488" s="269"/>
      <c r="AP488" s="269"/>
      <c r="AQ488" s="269"/>
      <c r="AR488" s="269"/>
    </row>
    <row r="489" spans="1:44">
      <c r="A489" s="269"/>
      <c r="B489" s="269"/>
      <c r="C489" s="269"/>
      <c r="D489" s="269"/>
      <c r="E489" s="269"/>
      <c r="F489" s="269"/>
      <c r="G489" s="269"/>
      <c r="H489" s="269"/>
      <c r="I489" s="269"/>
      <c r="J489" s="269"/>
      <c r="K489" s="269"/>
      <c r="L489" s="269"/>
      <c r="M489" s="269"/>
      <c r="N489" s="269"/>
      <c r="O489" s="269"/>
      <c r="P489" s="269"/>
      <c r="Q489" s="269"/>
      <c r="R489" s="269"/>
      <c r="S489" s="269"/>
      <c r="T489" s="269"/>
      <c r="U489" s="269"/>
      <c r="V489" s="269"/>
      <c r="W489" s="269"/>
      <c r="X489" s="269"/>
      <c r="Y489" s="269"/>
      <c r="Z489" s="269"/>
      <c r="AA489" s="269"/>
      <c r="AB489" s="269"/>
      <c r="AC489" s="269"/>
      <c r="AD489" s="269"/>
      <c r="AE489" s="269"/>
      <c r="AF489" s="269"/>
      <c r="AG489" s="269"/>
      <c r="AH489" s="269"/>
      <c r="AI489" s="269"/>
      <c r="AJ489" s="269"/>
      <c r="AK489" s="269"/>
      <c r="AL489" s="269"/>
      <c r="AM489" s="269"/>
      <c r="AN489" s="269"/>
      <c r="AO489" s="269"/>
      <c r="AP489" s="269"/>
      <c r="AQ489" s="269"/>
      <c r="AR489" s="269"/>
    </row>
    <row r="490" spans="1:44">
      <c r="A490" s="269"/>
      <c r="B490" s="269"/>
      <c r="C490" s="269"/>
      <c r="D490" s="269"/>
      <c r="E490" s="269"/>
      <c r="F490" s="269"/>
      <c r="G490" s="269"/>
      <c r="H490" s="269"/>
      <c r="I490" s="269"/>
      <c r="J490" s="269"/>
      <c r="K490" s="269"/>
      <c r="L490" s="269"/>
      <c r="M490" s="269"/>
      <c r="N490" s="269"/>
      <c r="O490" s="269"/>
      <c r="P490" s="269"/>
      <c r="Q490" s="269"/>
      <c r="R490" s="269"/>
      <c r="S490" s="269"/>
      <c r="T490" s="269"/>
      <c r="U490" s="269"/>
      <c r="V490" s="269"/>
      <c r="W490" s="269"/>
      <c r="X490" s="269"/>
      <c r="Y490" s="269"/>
      <c r="Z490" s="269"/>
      <c r="AA490" s="269"/>
      <c r="AB490" s="269"/>
      <c r="AC490" s="269"/>
      <c r="AD490" s="269"/>
      <c r="AE490" s="269"/>
      <c r="AF490" s="269"/>
      <c r="AG490" s="269"/>
      <c r="AH490" s="269"/>
      <c r="AI490" s="269"/>
      <c r="AJ490" s="269"/>
      <c r="AK490" s="269"/>
      <c r="AL490" s="269"/>
      <c r="AM490" s="269"/>
      <c r="AN490" s="269"/>
      <c r="AO490" s="269"/>
      <c r="AP490" s="269"/>
      <c r="AQ490" s="269"/>
      <c r="AR490" s="269"/>
    </row>
    <row r="491" spans="1:44">
      <c r="A491" s="269"/>
      <c r="B491" s="269"/>
      <c r="C491" s="269"/>
      <c r="D491" s="269"/>
      <c r="E491" s="269"/>
      <c r="F491" s="269"/>
      <c r="G491" s="269"/>
      <c r="H491" s="269"/>
      <c r="I491" s="269"/>
      <c r="J491" s="269"/>
      <c r="K491" s="269"/>
      <c r="L491" s="269"/>
      <c r="M491" s="269"/>
      <c r="N491" s="269"/>
      <c r="O491" s="269"/>
      <c r="P491" s="269"/>
      <c r="Q491" s="269"/>
      <c r="R491" s="269"/>
      <c r="S491" s="269"/>
      <c r="T491" s="269"/>
      <c r="U491" s="269"/>
      <c r="V491" s="269"/>
      <c r="W491" s="269"/>
      <c r="X491" s="269"/>
      <c r="Y491" s="269"/>
      <c r="Z491" s="269"/>
      <c r="AA491" s="269"/>
      <c r="AB491" s="269"/>
      <c r="AC491" s="269"/>
      <c r="AD491" s="269"/>
      <c r="AE491" s="269"/>
      <c r="AF491" s="269"/>
      <c r="AG491" s="269"/>
      <c r="AH491" s="269"/>
      <c r="AI491" s="269"/>
      <c r="AJ491" s="269"/>
      <c r="AK491" s="269"/>
      <c r="AL491" s="269"/>
      <c r="AM491" s="269"/>
      <c r="AN491" s="269"/>
      <c r="AO491" s="269"/>
      <c r="AP491" s="269"/>
      <c r="AQ491" s="269"/>
      <c r="AR491" s="269"/>
    </row>
    <row r="492" spans="1:44">
      <c r="A492" s="269"/>
      <c r="B492" s="269"/>
      <c r="C492" s="269"/>
      <c r="D492" s="269"/>
      <c r="E492" s="269"/>
      <c r="F492" s="269"/>
      <c r="G492" s="269"/>
      <c r="H492" s="269"/>
      <c r="I492" s="269"/>
      <c r="J492" s="269"/>
      <c r="K492" s="269"/>
      <c r="L492" s="269"/>
      <c r="M492" s="269"/>
      <c r="N492" s="269"/>
      <c r="O492" s="269"/>
      <c r="P492" s="269"/>
      <c r="Q492" s="269"/>
      <c r="R492" s="269"/>
      <c r="S492" s="269"/>
      <c r="T492" s="269"/>
      <c r="U492" s="269"/>
      <c r="V492" s="269"/>
      <c r="W492" s="269"/>
      <c r="X492" s="269"/>
      <c r="Y492" s="269"/>
      <c r="Z492" s="269"/>
      <c r="AA492" s="269"/>
      <c r="AB492" s="269"/>
      <c r="AC492" s="269"/>
      <c r="AD492" s="269"/>
      <c r="AE492" s="269"/>
      <c r="AF492" s="269"/>
      <c r="AG492" s="269"/>
      <c r="AH492" s="269"/>
      <c r="AI492" s="269"/>
      <c r="AJ492" s="269"/>
      <c r="AK492" s="269"/>
      <c r="AL492" s="269"/>
      <c r="AM492" s="269"/>
      <c r="AN492" s="269"/>
      <c r="AO492" s="269"/>
      <c r="AP492" s="269"/>
      <c r="AQ492" s="269"/>
      <c r="AR492" s="269"/>
    </row>
    <row r="493" spans="1:44">
      <c r="A493" s="269"/>
      <c r="B493" s="269"/>
      <c r="C493" s="269"/>
      <c r="D493" s="269"/>
      <c r="E493" s="269"/>
      <c r="F493" s="269"/>
      <c r="G493" s="269"/>
      <c r="H493" s="269"/>
      <c r="I493" s="269"/>
      <c r="J493" s="269"/>
      <c r="K493" s="269"/>
      <c r="L493" s="269"/>
      <c r="M493" s="269"/>
      <c r="N493" s="269"/>
      <c r="O493" s="269"/>
      <c r="P493" s="269"/>
      <c r="Q493" s="269"/>
      <c r="R493" s="269"/>
      <c r="S493" s="269"/>
      <c r="T493" s="269"/>
      <c r="U493" s="269"/>
      <c r="V493" s="269"/>
      <c r="W493" s="269"/>
      <c r="X493" s="269"/>
      <c r="Y493" s="269"/>
      <c r="Z493" s="269"/>
      <c r="AA493" s="269"/>
      <c r="AB493" s="269"/>
      <c r="AC493" s="269"/>
      <c r="AD493" s="269"/>
      <c r="AE493" s="269"/>
      <c r="AF493" s="269"/>
      <c r="AG493" s="269"/>
      <c r="AH493" s="269"/>
      <c r="AI493" s="269"/>
      <c r="AJ493" s="269"/>
      <c r="AK493" s="269"/>
      <c r="AL493" s="269"/>
      <c r="AM493" s="269"/>
      <c r="AN493" s="269"/>
      <c r="AO493" s="269"/>
      <c r="AP493" s="269"/>
      <c r="AQ493" s="269"/>
      <c r="AR493" s="269"/>
    </row>
    <row r="494" spans="1:44">
      <c r="A494" s="269"/>
      <c r="B494" s="269"/>
      <c r="C494" s="269"/>
      <c r="D494" s="269"/>
      <c r="E494" s="269"/>
      <c r="F494" s="269"/>
      <c r="G494" s="269"/>
      <c r="H494" s="269"/>
      <c r="I494" s="269"/>
      <c r="J494" s="269"/>
      <c r="K494" s="269"/>
      <c r="L494" s="269"/>
      <c r="M494" s="269"/>
      <c r="N494" s="269"/>
      <c r="O494" s="269"/>
      <c r="P494" s="269"/>
      <c r="Q494" s="269"/>
      <c r="R494" s="269"/>
      <c r="S494" s="269"/>
      <c r="T494" s="269"/>
      <c r="U494" s="269"/>
      <c r="V494" s="269"/>
      <c r="W494" s="269"/>
      <c r="X494" s="269"/>
      <c r="Y494" s="269"/>
      <c r="Z494" s="269"/>
      <c r="AA494" s="269"/>
      <c r="AB494" s="269"/>
      <c r="AC494" s="269"/>
      <c r="AD494" s="269"/>
      <c r="AE494" s="269"/>
      <c r="AF494" s="269"/>
      <c r="AG494" s="269"/>
      <c r="AH494" s="269"/>
      <c r="AI494" s="269"/>
      <c r="AJ494" s="269"/>
      <c r="AK494" s="269"/>
      <c r="AL494" s="269"/>
      <c r="AM494" s="269"/>
      <c r="AN494" s="269"/>
      <c r="AO494" s="269"/>
      <c r="AP494" s="269"/>
      <c r="AQ494" s="269"/>
      <c r="AR494" s="269"/>
    </row>
    <row r="495" spans="1:44">
      <c r="A495" s="269"/>
      <c r="B495" s="269"/>
      <c r="C495" s="269"/>
      <c r="D495" s="269"/>
      <c r="E495" s="269"/>
      <c r="F495" s="269"/>
      <c r="G495" s="269"/>
      <c r="H495" s="269"/>
      <c r="I495" s="269"/>
      <c r="J495" s="269"/>
      <c r="K495" s="269"/>
      <c r="L495" s="269"/>
      <c r="M495" s="269"/>
      <c r="N495" s="269"/>
      <c r="O495" s="269"/>
      <c r="P495" s="269"/>
      <c r="Q495" s="269"/>
      <c r="R495" s="269"/>
      <c r="S495" s="269"/>
      <c r="T495" s="269"/>
      <c r="U495" s="269"/>
      <c r="V495" s="269"/>
      <c r="W495" s="269"/>
      <c r="X495" s="269"/>
      <c r="Y495" s="269"/>
      <c r="Z495" s="269"/>
      <c r="AA495" s="269"/>
      <c r="AB495" s="269"/>
      <c r="AC495" s="269"/>
      <c r="AD495" s="269"/>
      <c r="AE495" s="269"/>
      <c r="AF495" s="269"/>
      <c r="AG495" s="269"/>
      <c r="AH495" s="269"/>
      <c r="AI495" s="269"/>
      <c r="AJ495" s="269"/>
      <c r="AK495" s="269"/>
      <c r="AL495" s="269"/>
      <c r="AM495" s="269"/>
      <c r="AN495" s="269"/>
      <c r="AO495" s="269"/>
      <c r="AP495" s="269"/>
      <c r="AQ495" s="269"/>
      <c r="AR495" s="269"/>
    </row>
    <row r="496" spans="1:44">
      <c r="A496" s="269"/>
      <c r="B496" s="269"/>
      <c r="C496" s="269"/>
      <c r="D496" s="269"/>
      <c r="E496" s="269"/>
      <c r="F496" s="269"/>
      <c r="G496" s="269"/>
      <c r="H496" s="269"/>
      <c r="I496" s="269"/>
      <c r="J496" s="269"/>
      <c r="K496" s="269"/>
      <c r="L496" s="269"/>
      <c r="M496" s="269"/>
      <c r="N496" s="269"/>
      <c r="O496" s="269"/>
      <c r="P496" s="269"/>
      <c r="Q496" s="269"/>
      <c r="R496" s="269"/>
      <c r="S496" s="269"/>
      <c r="T496" s="269"/>
      <c r="U496" s="269"/>
      <c r="V496" s="269"/>
      <c r="W496" s="269"/>
      <c r="X496" s="269"/>
      <c r="Y496" s="269"/>
      <c r="Z496" s="269"/>
      <c r="AA496" s="269"/>
      <c r="AB496" s="269"/>
      <c r="AC496" s="269"/>
      <c r="AD496" s="269"/>
      <c r="AE496" s="269"/>
      <c r="AF496" s="269"/>
      <c r="AG496" s="269"/>
      <c r="AH496" s="269"/>
      <c r="AI496" s="269"/>
      <c r="AJ496" s="269"/>
      <c r="AK496" s="269"/>
      <c r="AL496" s="269"/>
      <c r="AM496" s="269"/>
      <c r="AN496" s="269"/>
      <c r="AO496" s="269"/>
      <c r="AP496" s="269"/>
      <c r="AQ496" s="269"/>
      <c r="AR496" s="269"/>
    </row>
    <row r="497" spans="1:44">
      <c r="A497" s="269"/>
      <c r="B497" s="269"/>
      <c r="C497" s="269"/>
      <c r="D497" s="269"/>
      <c r="E497" s="269"/>
      <c r="F497" s="269"/>
      <c r="G497" s="269"/>
      <c r="H497" s="269"/>
      <c r="I497" s="269"/>
      <c r="J497" s="269"/>
      <c r="K497" s="269"/>
      <c r="L497" s="269"/>
      <c r="M497" s="269"/>
      <c r="N497" s="269"/>
      <c r="O497" s="269"/>
      <c r="P497" s="269"/>
      <c r="Q497" s="269"/>
      <c r="R497" s="269"/>
      <c r="S497" s="269"/>
      <c r="T497" s="269"/>
      <c r="U497" s="269"/>
      <c r="V497" s="269"/>
      <c r="W497" s="269"/>
      <c r="X497" s="269"/>
      <c r="Y497" s="269"/>
      <c r="Z497" s="269"/>
      <c r="AA497" s="269"/>
      <c r="AB497" s="269"/>
      <c r="AC497" s="269"/>
      <c r="AD497" s="269"/>
      <c r="AE497" s="269"/>
      <c r="AF497" s="269"/>
      <c r="AG497" s="269"/>
      <c r="AH497" s="269"/>
      <c r="AI497" s="269"/>
      <c r="AJ497" s="269"/>
      <c r="AK497" s="269"/>
      <c r="AL497" s="269"/>
      <c r="AM497" s="269"/>
      <c r="AN497" s="269"/>
      <c r="AO497" s="269"/>
      <c r="AP497" s="269"/>
      <c r="AQ497" s="269"/>
      <c r="AR497" s="269"/>
    </row>
    <row r="498" spans="1:44">
      <c r="A498" s="269"/>
      <c r="B498" s="269"/>
      <c r="C498" s="269"/>
      <c r="D498" s="269"/>
      <c r="E498" s="269"/>
      <c r="F498" s="269"/>
      <c r="G498" s="269"/>
      <c r="H498" s="269"/>
      <c r="I498" s="269"/>
      <c r="J498" s="269"/>
      <c r="K498" s="269"/>
      <c r="L498" s="269"/>
      <c r="M498" s="269"/>
      <c r="N498" s="269"/>
      <c r="O498" s="269"/>
      <c r="P498" s="269"/>
      <c r="Q498" s="269"/>
      <c r="R498" s="269"/>
      <c r="S498" s="269"/>
      <c r="T498" s="269"/>
      <c r="U498" s="269"/>
      <c r="V498" s="269"/>
      <c r="W498" s="269"/>
      <c r="X498" s="269"/>
      <c r="Y498" s="269"/>
      <c r="Z498" s="269"/>
      <c r="AA498" s="269"/>
      <c r="AB498" s="269"/>
      <c r="AC498" s="269"/>
      <c r="AD498" s="269"/>
      <c r="AE498" s="269"/>
      <c r="AF498" s="269"/>
      <c r="AG498" s="269"/>
      <c r="AH498" s="269"/>
      <c r="AI498" s="269"/>
      <c r="AJ498" s="269"/>
      <c r="AK498" s="269"/>
      <c r="AL498" s="269"/>
      <c r="AM498" s="269"/>
      <c r="AN498" s="269"/>
      <c r="AO498" s="269"/>
      <c r="AP498" s="269"/>
      <c r="AQ498" s="269"/>
      <c r="AR498" s="269"/>
    </row>
    <row r="499" spans="1:44">
      <c r="A499" s="269"/>
      <c r="B499" s="269"/>
      <c r="C499" s="269"/>
      <c r="D499" s="269"/>
      <c r="E499" s="269"/>
      <c r="F499" s="269"/>
      <c r="G499" s="269"/>
      <c r="H499" s="269"/>
      <c r="I499" s="269"/>
      <c r="J499" s="269"/>
      <c r="K499" s="269"/>
      <c r="L499" s="269"/>
      <c r="M499" s="269"/>
      <c r="N499" s="269"/>
      <c r="O499" s="269"/>
      <c r="P499" s="269"/>
      <c r="Q499" s="269"/>
      <c r="R499" s="269"/>
      <c r="S499" s="269"/>
      <c r="T499" s="269"/>
      <c r="U499" s="269"/>
      <c r="V499" s="269"/>
      <c r="W499" s="269"/>
      <c r="X499" s="269"/>
      <c r="Y499" s="269"/>
      <c r="Z499" s="269"/>
      <c r="AA499" s="269"/>
      <c r="AB499" s="269"/>
      <c r="AC499" s="269"/>
      <c r="AD499" s="269"/>
      <c r="AE499" s="269"/>
      <c r="AF499" s="269"/>
      <c r="AG499" s="269"/>
      <c r="AH499" s="269"/>
      <c r="AI499" s="269"/>
      <c r="AJ499" s="269"/>
      <c r="AK499" s="269"/>
      <c r="AL499" s="269"/>
      <c r="AM499" s="269"/>
      <c r="AN499" s="269"/>
      <c r="AO499" s="269"/>
      <c r="AP499" s="269"/>
      <c r="AQ499" s="269"/>
      <c r="AR499" s="269"/>
    </row>
    <row r="500" spans="1:44">
      <c r="A500" s="269"/>
      <c r="B500" s="269"/>
      <c r="C500" s="269"/>
      <c r="D500" s="269"/>
      <c r="E500" s="269"/>
      <c r="F500" s="269"/>
      <c r="G500" s="269"/>
      <c r="H500" s="269"/>
      <c r="I500" s="269"/>
      <c r="J500" s="269"/>
      <c r="K500" s="269"/>
      <c r="L500" s="269"/>
      <c r="M500" s="269"/>
      <c r="N500" s="269"/>
      <c r="O500" s="269"/>
      <c r="P500" s="269"/>
      <c r="Q500" s="269"/>
      <c r="R500" s="269"/>
      <c r="S500" s="269"/>
      <c r="T500" s="269"/>
      <c r="U500" s="269"/>
      <c r="V500" s="269"/>
      <c r="W500" s="269"/>
      <c r="X500" s="269"/>
      <c r="Y500" s="269"/>
      <c r="Z500" s="269"/>
      <c r="AA500" s="269"/>
      <c r="AB500" s="269"/>
      <c r="AC500" s="269"/>
      <c r="AD500" s="269"/>
      <c r="AE500" s="269"/>
      <c r="AF500" s="269"/>
      <c r="AG500" s="269"/>
      <c r="AH500" s="269"/>
      <c r="AI500" s="269"/>
      <c r="AJ500" s="269"/>
      <c r="AK500" s="269"/>
      <c r="AL500" s="269"/>
      <c r="AM500" s="269"/>
      <c r="AN500" s="269"/>
      <c r="AO500" s="269"/>
      <c r="AP500" s="269"/>
      <c r="AQ500" s="269"/>
      <c r="AR500" s="269"/>
    </row>
    <row r="501" spans="1:44">
      <c r="A501" s="269"/>
      <c r="B501" s="269"/>
      <c r="C501" s="269"/>
      <c r="D501" s="269"/>
      <c r="E501" s="269"/>
      <c r="F501" s="269"/>
      <c r="G501" s="269"/>
      <c r="H501" s="269"/>
      <c r="I501" s="269"/>
      <c r="J501" s="269"/>
      <c r="K501" s="269"/>
      <c r="L501" s="269"/>
      <c r="M501" s="269"/>
      <c r="N501" s="269"/>
      <c r="O501" s="269"/>
      <c r="P501" s="269"/>
      <c r="Q501" s="269"/>
      <c r="R501" s="269"/>
      <c r="S501" s="269"/>
      <c r="T501" s="269"/>
      <c r="U501" s="269"/>
      <c r="V501" s="269"/>
      <c r="W501" s="269"/>
      <c r="X501" s="269"/>
      <c r="Y501" s="269"/>
      <c r="Z501" s="269"/>
      <c r="AA501" s="269"/>
      <c r="AB501" s="269"/>
      <c r="AC501" s="269"/>
      <c r="AD501" s="269"/>
      <c r="AE501" s="269"/>
      <c r="AF501" s="269"/>
      <c r="AG501" s="269"/>
      <c r="AH501" s="269"/>
      <c r="AI501" s="269"/>
      <c r="AJ501" s="269"/>
      <c r="AK501" s="269"/>
      <c r="AL501" s="269"/>
      <c r="AM501" s="269"/>
      <c r="AN501" s="269"/>
      <c r="AO501" s="269"/>
      <c r="AP501" s="269"/>
      <c r="AQ501" s="269"/>
      <c r="AR501" s="269"/>
    </row>
    <row r="502" spans="1:44">
      <c r="A502" s="269"/>
      <c r="B502" s="269"/>
      <c r="C502" s="269"/>
      <c r="D502" s="269"/>
      <c r="E502" s="269"/>
      <c r="F502" s="269"/>
      <c r="G502" s="269"/>
      <c r="H502" s="269"/>
      <c r="I502" s="269"/>
      <c r="J502" s="269"/>
      <c r="K502" s="269"/>
      <c r="L502" s="269"/>
      <c r="M502" s="269"/>
      <c r="N502" s="269"/>
      <c r="O502" s="269"/>
      <c r="P502" s="269"/>
      <c r="Q502" s="269"/>
      <c r="R502" s="269"/>
      <c r="S502" s="269"/>
      <c r="T502" s="269"/>
      <c r="U502" s="269"/>
      <c r="V502" s="269"/>
      <c r="W502" s="269"/>
      <c r="X502" s="269"/>
      <c r="Y502" s="269"/>
      <c r="Z502" s="269"/>
      <c r="AA502" s="269"/>
      <c r="AB502" s="269"/>
      <c r="AC502" s="269"/>
      <c r="AD502" s="269"/>
      <c r="AE502" s="269"/>
      <c r="AF502" s="269"/>
      <c r="AG502" s="269"/>
      <c r="AH502" s="269"/>
      <c r="AI502" s="269"/>
      <c r="AJ502" s="269"/>
      <c r="AK502" s="269"/>
      <c r="AL502" s="269"/>
      <c r="AM502" s="269"/>
      <c r="AN502" s="269"/>
      <c r="AO502" s="269"/>
      <c r="AP502" s="269"/>
      <c r="AQ502" s="269"/>
      <c r="AR502" s="269"/>
    </row>
    <row r="503" spans="1:44">
      <c r="A503" s="269"/>
      <c r="B503" s="269"/>
      <c r="C503" s="269"/>
      <c r="D503" s="269"/>
      <c r="E503" s="269"/>
      <c r="F503" s="269"/>
      <c r="G503" s="269"/>
      <c r="H503" s="269"/>
      <c r="I503" s="269"/>
      <c r="J503" s="269"/>
      <c r="K503" s="269"/>
      <c r="L503" s="269"/>
      <c r="M503" s="269"/>
      <c r="N503" s="269"/>
      <c r="O503" s="269"/>
      <c r="P503" s="269"/>
      <c r="Q503" s="269"/>
      <c r="R503" s="269"/>
      <c r="S503" s="269"/>
      <c r="T503" s="269"/>
      <c r="U503" s="269"/>
      <c r="V503" s="269"/>
      <c r="W503" s="269"/>
      <c r="X503" s="269"/>
      <c r="Y503" s="269"/>
      <c r="Z503" s="269"/>
      <c r="AA503" s="269"/>
      <c r="AB503" s="269"/>
      <c r="AC503" s="269"/>
      <c r="AD503" s="269"/>
      <c r="AE503" s="269"/>
      <c r="AF503" s="269"/>
      <c r="AG503" s="269"/>
      <c r="AH503" s="269"/>
      <c r="AI503" s="269"/>
      <c r="AJ503" s="269"/>
      <c r="AK503" s="269"/>
      <c r="AL503" s="269"/>
      <c r="AM503" s="269"/>
      <c r="AN503" s="269"/>
      <c r="AO503" s="269"/>
      <c r="AP503" s="269"/>
      <c r="AQ503" s="269"/>
      <c r="AR503" s="269"/>
    </row>
    <row r="504" spans="1:44">
      <c r="A504" s="269"/>
      <c r="B504" s="269"/>
      <c r="C504" s="269"/>
      <c r="D504" s="269"/>
      <c r="E504" s="269"/>
      <c r="F504" s="269"/>
      <c r="G504" s="269"/>
      <c r="H504" s="269"/>
      <c r="I504" s="269"/>
      <c r="J504" s="269"/>
      <c r="K504" s="269"/>
      <c r="L504" s="269"/>
      <c r="M504" s="269"/>
      <c r="N504" s="269"/>
      <c r="O504" s="269"/>
      <c r="P504" s="269"/>
      <c r="Q504" s="269"/>
      <c r="R504" s="269"/>
      <c r="S504" s="269"/>
      <c r="T504" s="269"/>
      <c r="U504" s="269"/>
      <c r="V504" s="269"/>
      <c r="W504" s="269"/>
      <c r="X504" s="269"/>
      <c r="Y504" s="269"/>
      <c r="Z504" s="269"/>
      <c r="AA504" s="269"/>
      <c r="AB504" s="269"/>
      <c r="AC504" s="269"/>
      <c r="AD504" s="269"/>
      <c r="AE504" s="269"/>
      <c r="AF504" s="269"/>
      <c r="AG504" s="269"/>
      <c r="AH504" s="269"/>
      <c r="AI504" s="269"/>
      <c r="AJ504" s="269"/>
      <c r="AK504" s="269"/>
      <c r="AL504" s="269"/>
      <c r="AM504" s="269"/>
      <c r="AN504" s="269"/>
      <c r="AO504" s="269"/>
      <c r="AP504" s="269"/>
      <c r="AQ504" s="269"/>
      <c r="AR504" s="269"/>
    </row>
    <row r="505" spans="1:44">
      <c r="A505" s="269"/>
      <c r="B505" s="269"/>
      <c r="C505" s="269"/>
      <c r="D505" s="269"/>
      <c r="E505" s="269"/>
      <c r="F505" s="269"/>
      <c r="G505" s="269"/>
      <c r="H505" s="269"/>
      <c r="I505" s="269"/>
      <c r="J505" s="269"/>
      <c r="K505" s="269"/>
      <c r="L505" s="269"/>
      <c r="M505" s="269"/>
      <c r="N505" s="269"/>
      <c r="O505" s="269"/>
      <c r="P505" s="269"/>
      <c r="Q505" s="269"/>
      <c r="R505" s="269"/>
      <c r="S505" s="269"/>
      <c r="T505" s="269"/>
      <c r="U505" s="269"/>
      <c r="V505" s="269"/>
      <c r="W505" s="269"/>
      <c r="X505" s="269"/>
      <c r="Y505" s="269"/>
      <c r="Z505" s="269"/>
      <c r="AA505" s="269"/>
      <c r="AB505" s="269"/>
      <c r="AC505" s="269"/>
      <c r="AD505" s="269"/>
      <c r="AE505" s="269"/>
      <c r="AF505" s="269"/>
      <c r="AG505" s="269"/>
      <c r="AH505" s="269"/>
      <c r="AI505" s="269"/>
      <c r="AJ505" s="269"/>
      <c r="AK505" s="269"/>
      <c r="AL505" s="269"/>
      <c r="AM505" s="269"/>
      <c r="AN505" s="269"/>
      <c r="AO505" s="269"/>
      <c r="AP505" s="269"/>
      <c r="AQ505" s="269"/>
      <c r="AR505" s="269"/>
    </row>
    <row r="506" spans="1:44">
      <c r="A506" s="269"/>
      <c r="B506" s="269"/>
      <c r="C506" s="269"/>
      <c r="D506" s="269"/>
      <c r="E506" s="269"/>
      <c r="F506" s="269"/>
      <c r="G506" s="269"/>
      <c r="H506" s="269"/>
      <c r="I506" s="269"/>
      <c r="J506" s="269"/>
      <c r="K506" s="269"/>
      <c r="L506" s="269"/>
      <c r="M506" s="269"/>
      <c r="N506" s="269"/>
      <c r="O506" s="269"/>
      <c r="P506" s="269"/>
      <c r="Q506" s="269"/>
      <c r="R506" s="269"/>
      <c r="S506" s="269"/>
      <c r="T506" s="269"/>
      <c r="U506" s="269"/>
      <c r="V506" s="269"/>
      <c r="W506" s="269"/>
      <c r="X506" s="269"/>
      <c r="Y506" s="269"/>
      <c r="Z506" s="269"/>
      <c r="AA506" s="269"/>
      <c r="AB506" s="269"/>
      <c r="AC506" s="269"/>
      <c r="AD506" s="269"/>
      <c r="AE506" s="269"/>
      <c r="AF506" s="269"/>
      <c r="AG506" s="269"/>
      <c r="AH506" s="269"/>
      <c r="AI506" s="269"/>
      <c r="AJ506" s="269"/>
      <c r="AK506" s="269"/>
      <c r="AL506" s="269"/>
      <c r="AM506" s="269"/>
      <c r="AN506" s="269"/>
      <c r="AO506" s="269"/>
      <c r="AP506" s="269"/>
      <c r="AQ506" s="269"/>
      <c r="AR506" s="269"/>
    </row>
    <row r="507" spans="1:44">
      <c r="A507" s="269"/>
      <c r="B507" s="269"/>
      <c r="C507" s="269"/>
      <c r="D507" s="269"/>
      <c r="E507" s="269"/>
      <c r="F507" s="269"/>
      <c r="G507" s="269"/>
      <c r="H507" s="269"/>
      <c r="I507" s="269"/>
      <c r="J507" s="269"/>
      <c r="K507" s="269"/>
      <c r="L507" s="269"/>
      <c r="M507" s="269"/>
      <c r="N507" s="269"/>
      <c r="O507" s="269"/>
      <c r="P507" s="269"/>
      <c r="Q507" s="269"/>
      <c r="R507" s="269"/>
      <c r="S507" s="269"/>
      <c r="T507" s="269"/>
      <c r="U507" s="269"/>
      <c r="V507" s="269"/>
      <c r="W507" s="269"/>
      <c r="X507" s="269"/>
      <c r="Y507" s="269"/>
      <c r="Z507" s="269"/>
      <c r="AA507" s="269"/>
      <c r="AB507" s="269"/>
      <c r="AC507" s="269"/>
      <c r="AD507" s="269"/>
      <c r="AE507" s="269"/>
      <c r="AF507" s="269"/>
      <c r="AG507" s="269"/>
      <c r="AH507" s="269"/>
      <c r="AI507" s="269"/>
      <c r="AJ507" s="269"/>
      <c r="AK507" s="269"/>
      <c r="AL507" s="269"/>
      <c r="AM507" s="269"/>
      <c r="AN507" s="269"/>
      <c r="AO507" s="269"/>
      <c r="AP507" s="269"/>
      <c r="AQ507" s="269"/>
      <c r="AR507" s="269"/>
    </row>
    <row r="508" spans="1:44">
      <c r="A508" s="269"/>
      <c r="B508" s="269"/>
      <c r="C508" s="269"/>
      <c r="D508" s="269"/>
      <c r="E508" s="269"/>
      <c r="F508" s="269"/>
      <c r="G508" s="269"/>
      <c r="H508" s="269"/>
      <c r="I508" s="269"/>
      <c r="J508" s="269"/>
      <c r="K508" s="269"/>
      <c r="L508" s="269"/>
      <c r="M508" s="269"/>
      <c r="N508" s="269"/>
      <c r="O508" s="269"/>
      <c r="P508" s="269"/>
      <c r="Q508" s="269"/>
      <c r="R508" s="269"/>
      <c r="S508" s="269"/>
      <c r="T508" s="269"/>
      <c r="U508" s="269"/>
      <c r="V508" s="269"/>
      <c r="W508" s="269"/>
      <c r="X508" s="269"/>
      <c r="Y508" s="269"/>
      <c r="Z508" s="269"/>
      <c r="AA508" s="269"/>
      <c r="AB508" s="269"/>
      <c r="AC508" s="269"/>
      <c r="AD508" s="269"/>
      <c r="AE508" s="269"/>
      <c r="AF508" s="269"/>
      <c r="AG508" s="269"/>
      <c r="AH508" s="269"/>
      <c r="AI508" s="269"/>
      <c r="AJ508" s="269"/>
      <c r="AK508" s="269"/>
      <c r="AL508" s="269"/>
      <c r="AM508" s="269"/>
      <c r="AN508" s="269"/>
      <c r="AO508" s="269"/>
      <c r="AP508" s="269"/>
      <c r="AQ508" s="269"/>
      <c r="AR508" s="269"/>
    </row>
    <row r="509" spans="1:44">
      <c r="A509" s="269"/>
      <c r="B509" s="269"/>
      <c r="C509" s="269"/>
      <c r="D509" s="269"/>
      <c r="E509" s="269"/>
      <c r="F509" s="269"/>
      <c r="G509" s="269"/>
      <c r="H509" s="269"/>
      <c r="I509" s="269"/>
      <c r="J509" s="269"/>
      <c r="K509" s="269"/>
      <c r="L509" s="269"/>
      <c r="M509" s="269"/>
      <c r="N509" s="269"/>
      <c r="O509" s="269"/>
      <c r="P509" s="269"/>
      <c r="Q509" s="269"/>
      <c r="R509" s="269"/>
      <c r="S509" s="269"/>
      <c r="T509" s="269"/>
      <c r="U509" s="269"/>
      <c r="V509" s="269"/>
      <c r="W509" s="269"/>
      <c r="X509" s="269"/>
      <c r="Y509" s="269"/>
      <c r="Z509" s="269"/>
      <c r="AA509" s="269"/>
      <c r="AB509" s="269"/>
      <c r="AC509" s="269"/>
      <c r="AD509" s="269"/>
      <c r="AE509" s="269"/>
      <c r="AF509" s="269"/>
      <c r="AG509" s="269"/>
      <c r="AH509" s="269"/>
      <c r="AI509" s="269"/>
      <c r="AJ509" s="269"/>
      <c r="AK509" s="269"/>
      <c r="AL509" s="269"/>
      <c r="AM509" s="269"/>
      <c r="AN509" s="269"/>
      <c r="AO509" s="269"/>
      <c r="AP509" s="269"/>
      <c r="AQ509" s="269"/>
      <c r="AR509" s="269"/>
    </row>
    <row r="510" spans="1:44">
      <c r="A510" s="269"/>
      <c r="B510" s="269"/>
      <c r="C510" s="269"/>
      <c r="D510" s="269"/>
      <c r="E510" s="269"/>
      <c r="F510" s="269"/>
      <c r="G510" s="269"/>
      <c r="H510" s="269"/>
      <c r="I510" s="269"/>
      <c r="J510" s="269"/>
      <c r="K510" s="269"/>
      <c r="L510" s="269"/>
      <c r="M510" s="269"/>
      <c r="N510" s="269"/>
      <c r="O510" s="269"/>
      <c r="P510" s="269"/>
      <c r="Q510" s="269"/>
      <c r="R510" s="269"/>
      <c r="S510" s="269"/>
      <c r="T510" s="269"/>
      <c r="U510" s="269"/>
      <c r="V510" s="269"/>
      <c r="W510" s="269"/>
      <c r="X510" s="269"/>
      <c r="Y510" s="269"/>
      <c r="Z510" s="269"/>
      <c r="AA510" s="269"/>
      <c r="AB510" s="269"/>
      <c r="AC510" s="269"/>
      <c r="AD510" s="269"/>
      <c r="AE510" s="269"/>
      <c r="AF510" s="269"/>
      <c r="AG510" s="269"/>
      <c r="AH510" s="269"/>
      <c r="AI510" s="269"/>
      <c r="AJ510" s="269"/>
      <c r="AK510" s="269"/>
      <c r="AL510" s="269"/>
      <c r="AM510" s="269"/>
      <c r="AN510" s="269"/>
      <c r="AO510" s="269"/>
      <c r="AP510" s="269"/>
      <c r="AQ510" s="269"/>
      <c r="AR510" s="269"/>
    </row>
    <row r="511" spans="1:44">
      <c r="A511" s="269"/>
      <c r="B511" s="269"/>
      <c r="C511" s="269"/>
      <c r="D511" s="269"/>
      <c r="E511" s="269"/>
      <c r="F511" s="269"/>
      <c r="G511" s="269"/>
      <c r="H511" s="269"/>
      <c r="I511" s="269"/>
      <c r="J511" s="269"/>
      <c r="K511" s="269"/>
      <c r="L511" s="269"/>
      <c r="M511" s="269"/>
      <c r="N511" s="269"/>
      <c r="O511" s="269"/>
      <c r="P511" s="269"/>
      <c r="Q511" s="269"/>
      <c r="R511" s="269"/>
      <c r="S511" s="269"/>
      <c r="T511" s="269"/>
      <c r="U511" s="269"/>
      <c r="V511" s="269"/>
      <c r="W511" s="269"/>
      <c r="X511" s="269"/>
      <c r="Y511" s="269"/>
      <c r="Z511" s="269"/>
      <c r="AA511" s="269"/>
      <c r="AB511" s="269"/>
      <c r="AC511" s="269"/>
      <c r="AD511" s="269"/>
      <c r="AE511" s="269"/>
      <c r="AF511" s="269"/>
      <c r="AG511" s="269"/>
      <c r="AH511" s="269"/>
      <c r="AI511" s="269"/>
      <c r="AJ511" s="269"/>
      <c r="AK511" s="269"/>
      <c r="AL511" s="269"/>
      <c r="AM511" s="269"/>
      <c r="AN511" s="269"/>
      <c r="AO511" s="269"/>
      <c r="AP511" s="269"/>
      <c r="AQ511" s="269"/>
      <c r="AR511" s="269"/>
    </row>
    <row r="512" spans="1:44">
      <c r="A512" s="269"/>
      <c r="B512" s="269"/>
      <c r="C512" s="269"/>
      <c r="D512" s="269"/>
      <c r="E512" s="269"/>
      <c r="F512" s="269"/>
      <c r="G512" s="269"/>
      <c r="H512" s="269"/>
      <c r="I512" s="269"/>
      <c r="J512" s="269"/>
      <c r="K512" s="269"/>
      <c r="L512" s="269"/>
      <c r="M512" s="269"/>
      <c r="N512" s="269"/>
      <c r="O512" s="269"/>
      <c r="P512" s="269"/>
      <c r="Q512" s="269"/>
      <c r="R512" s="269"/>
      <c r="S512" s="269"/>
      <c r="T512" s="269"/>
      <c r="U512" s="269"/>
      <c r="V512" s="269"/>
      <c r="W512" s="269"/>
      <c r="X512" s="269"/>
      <c r="Y512" s="269"/>
      <c r="Z512" s="269"/>
      <c r="AA512" s="269"/>
      <c r="AB512" s="269"/>
      <c r="AC512" s="269"/>
      <c r="AD512" s="269"/>
      <c r="AE512" s="269"/>
      <c r="AF512" s="269"/>
      <c r="AG512" s="269"/>
      <c r="AH512" s="269"/>
      <c r="AI512" s="269"/>
      <c r="AJ512" s="269"/>
      <c r="AK512" s="269"/>
      <c r="AL512" s="269"/>
      <c r="AM512" s="269"/>
      <c r="AN512" s="269"/>
      <c r="AO512" s="269"/>
      <c r="AP512" s="269"/>
      <c r="AQ512" s="269"/>
      <c r="AR512" s="269"/>
    </row>
    <row r="513" spans="1:44">
      <c r="A513" s="269"/>
      <c r="B513" s="269"/>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269"/>
      <c r="AB513" s="269"/>
      <c r="AC513" s="269"/>
      <c r="AD513" s="269"/>
      <c r="AE513" s="269"/>
      <c r="AF513" s="269"/>
      <c r="AG513" s="269"/>
      <c r="AH513" s="269"/>
      <c r="AI513" s="269"/>
      <c r="AJ513" s="269"/>
      <c r="AK513" s="269"/>
      <c r="AL513" s="269"/>
      <c r="AM513" s="269"/>
      <c r="AN513" s="269"/>
      <c r="AO513" s="269"/>
      <c r="AP513" s="269"/>
      <c r="AQ513" s="269"/>
      <c r="AR513" s="269"/>
    </row>
    <row r="514" spans="1:44">
      <c r="A514" s="269"/>
      <c r="B514" s="269"/>
      <c r="C514" s="269"/>
      <c r="D514" s="269"/>
      <c r="E514" s="269"/>
      <c r="F514" s="269"/>
      <c r="G514" s="269"/>
      <c r="H514" s="269"/>
      <c r="I514" s="269"/>
      <c r="J514" s="269"/>
      <c r="K514" s="269"/>
      <c r="L514" s="269"/>
      <c r="M514" s="269"/>
      <c r="N514" s="269"/>
      <c r="O514" s="269"/>
      <c r="P514" s="269"/>
      <c r="Q514" s="269"/>
      <c r="R514" s="269"/>
      <c r="S514" s="269"/>
      <c r="T514" s="269"/>
      <c r="U514" s="269"/>
      <c r="V514" s="269"/>
      <c r="W514" s="269"/>
      <c r="X514" s="269"/>
      <c r="Y514" s="269"/>
      <c r="Z514" s="269"/>
      <c r="AA514" s="269"/>
      <c r="AB514" s="269"/>
      <c r="AC514" s="269"/>
      <c r="AD514" s="269"/>
      <c r="AE514" s="269"/>
      <c r="AF514" s="269"/>
      <c r="AG514" s="269"/>
      <c r="AH514" s="269"/>
      <c r="AI514" s="269"/>
      <c r="AJ514" s="269"/>
      <c r="AK514" s="269"/>
      <c r="AL514" s="269"/>
      <c r="AM514" s="269"/>
      <c r="AN514" s="269"/>
      <c r="AO514" s="269"/>
      <c r="AP514" s="269"/>
      <c r="AQ514" s="269"/>
      <c r="AR514" s="269"/>
    </row>
    <row r="515" spans="1:44">
      <c r="A515" s="269"/>
      <c r="B515" s="269"/>
      <c r="C515" s="269"/>
      <c r="D515" s="269"/>
      <c r="E515" s="269"/>
      <c r="F515" s="269"/>
      <c r="G515" s="269"/>
      <c r="H515" s="269"/>
      <c r="I515" s="269"/>
      <c r="J515" s="269"/>
      <c r="K515" s="269"/>
      <c r="L515" s="269"/>
      <c r="M515" s="269"/>
      <c r="N515" s="269"/>
      <c r="O515" s="269"/>
      <c r="P515" s="269"/>
      <c r="Q515" s="269"/>
      <c r="R515" s="269"/>
      <c r="S515" s="269"/>
      <c r="T515" s="269"/>
      <c r="U515" s="269"/>
      <c r="V515" s="269"/>
      <c r="W515" s="269"/>
      <c r="X515" s="269"/>
      <c r="Y515" s="269"/>
      <c r="Z515" s="269"/>
      <c r="AA515" s="269"/>
      <c r="AB515" s="269"/>
      <c r="AC515" s="269"/>
      <c r="AD515" s="269"/>
      <c r="AE515" s="269"/>
      <c r="AF515" s="269"/>
      <c r="AG515" s="269"/>
      <c r="AH515" s="269"/>
      <c r="AI515" s="269"/>
      <c r="AJ515" s="269"/>
      <c r="AK515" s="269"/>
      <c r="AL515" s="269"/>
      <c r="AM515" s="269"/>
      <c r="AN515" s="269"/>
      <c r="AO515" s="269"/>
      <c r="AP515" s="269"/>
      <c r="AQ515" s="269"/>
      <c r="AR515" s="269"/>
    </row>
    <row r="516" spans="1:44">
      <c r="A516" s="269"/>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69"/>
      <c r="AL516" s="269"/>
      <c r="AM516" s="269"/>
      <c r="AN516" s="269"/>
      <c r="AO516" s="269"/>
      <c r="AP516" s="269"/>
      <c r="AQ516" s="269"/>
      <c r="AR516" s="269"/>
    </row>
    <row r="517" spans="1:44">
      <c r="A517" s="269"/>
      <c r="B517" s="269"/>
      <c r="C517" s="269"/>
      <c r="D517" s="269"/>
      <c r="E517" s="269"/>
      <c r="F517" s="269"/>
      <c r="G517" s="269"/>
      <c r="H517" s="269"/>
      <c r="I517" s="269"/>
      <c r="J517" s="269"/>
      <c r="K517" s="269"/>
      <c r="L517" s="269"/>
      <c r="M517" s="269"/>
      <c r="N517" s="269"/>
      <c r="O517" s="269"/>
      <c r="P517" s="269"/>
      <c r="Q517" s="269"/>
      <c r="R517" s="269"/>
      <c r="S517" s="269"/>
      <c r="T517" s="269"/>
      <c r="U517" s="269"/>
      <c r="V517" s="269"/>
      <c r="W517" s="269"/>
      <c r="X517" s="269"/>
      <c r="Y517" s="269"/>
      <c r="Z517" s="269"/>
      <c r="AA517" s="269"/>
      <c r="AB517" s="269"/>
      <c r="AC517" s="269"/>
      <c r="AD517" s="269"/>
      <c r="AE517" s="269"/>
      <c r="AF517" s="269"/>
      <c r="AG517" s="269"/>
      <c r="AH517" s="269"/>
      <c r="AI517" s="269"/>
      <c r="AJ517" s="269"/>
      <c r="AK517" s="269"/>
      <c r="AL517" s="269"/>
      <c r="AM517" s="269"/>
      <c r="AN517" s="269"/>
      <c r="AO517" s="269"/>
      <c r="AP517" s="269"/>
      <c r="AQ517" s="269"/>
      <c r="AR517" s="269"/>
    </row>
    <row r="518" spans="1:44">
      <c r="A518" s="269"/>
      <c r="B518" s="269"/>
      <c r="C518" s="269"/>
      <c r="D518" s="269"/>
      <c r="E518" s="269"/>
      <c r="F518" s="269"/>
      <c r="G518" s="269"/>
      <c r="H518" s="269"/>
      <c r="I518" s="269"/>
      <c r="J518" s="269"/>
      <c r="K518" s="269"/>
      <c r="L518" s="269"/>
      <c r="M518" s="269"/>
      <c r="N518" s="269"/>
      <c r="O518" s="269"/>
      <c r="P518" s="269"/>
      <c r="Q518" s="269"/>
      <c r="R518" s="269"/>
      <c r="S518" s="269"/>
      <c r="T518" s="269"/>
      <c r="U518" s="269"/>
      <c r="V518" s="269"/>
      <c r="W518" s="269"/>
      <c r="X518" s="269"/>
      <c r="Y518" s="269"/>
      <c r="Z518" s="269"/>
      <c r="AA518" s="269"/>
      <c r="AB518" s="269"/>
      <c r="AC518" s="269"/>
      <c r="AD518" s="269"/>
      <c r="AE518" s="269"/>
      <c r="AF518" s="269"/>
      <c r="AG518" s="269"/>
      <c r="AH518" s="269"/>
      <c r="AI518" s="269"/>
      <c r="AJ518" s="269"/>
      <c r="AK518" s="269"/>
      <c r="AL518" s="269"/>
      <c r="AM518" s="269"/>
      <c r="AN518" s="269"/>
      <c r="AO518" s="269"/>
      <c r="AP518" s="269"/>
      <c r="AQ518" s="269"/>
      <c r="AR518" s="269"/>
    </row>
    <row r="519" spans="1:44">
      <c r="A519" s="269"/>
      <c r="B519" s="269"/>
      <c r="C519" s="269"/>
      <c r="D519" s="269"/>
      <c r="E519" s="269"/>
      <c r="F519" s="269"/>
      <c r="G519" s="269"/>
      <c r="H519" s="269"/>
      <c r="I519" s="269"/>
      <c r="J519" s="269"/>
      <c r="K519" s="269"/>
      <c r="L519" s="269"/>
      <c r="M519" s="269"/>
      <c r="N519" s="269"/>
      <c r="O519" s="269"/>
      <c r="P519" s="269"/>
      <c r="Q519" s="269"/>
      <c r="R519" s="269"/>
      <c r="S519" s="269"/>
      <c r="T519" s="269"/>
      <c r="U519" s="269"/>
      <c r="V519" s="269"/>
      <c r="W519" s="269"/>
      <c r="X519" s="269"/>
      <c r="Y519" s="269"/>
      <c r="Z519" s="269"/>
      <c r="AA519" s="269"/>
      <c r="AB519" s="269"/>
      <c r="AC519" s="269"/>
      <c r="AD519" s="269"/>
      <c r="AE519" s="269"/>
      <c r="AF519" s="269"/>
      <c r="AG519" s="269"/>
      <c r="AH519" s="269"/>
      <c r="AI519" s="269"/>
      <c r="AJ519" s="269"/>
      <c r="AK519" s="269"/>
      <c r="AL519" s="269"/>
      <c r="AM519" s="269"/>
      <c r="AN519" s="269"/>
      <c r="AO519" s="269"/>
      <c r="AP519" s="269"/>
      <c r="AQ519" s="269"/>
      <c r="AR519" s="269"/>
    </row>
    <row r="520" spans="1:44">
      <c r="A520" s="269"/>
      <c r="B520" s="269"/>
      <c r="C520" s="269"/>
      <c r="D520" s="269"/>
      <c r="E520" s="269"/>
      <c r="F520" s="269"/>
      <c r="G520" s="269"/>
      <c r="H520" s="269"/>
      <c r="I520" s="269"/>
      <c r="J520" s="269"/>
      <c r="K520" s="269"/>
      <c r="L520" s="269"/>
      <c r="M520" s="269"/>
      <c r="N520" s="269"/>
      <c r="O520" s="269"/>
      <c r="P520" s="269"/>
      <c r="Q520" s="269"/>
      <c r="R520" s="269"/>
      <c r="S520" s="269"/>
      <c r="T520" s="269"/>
      <c r="U520" s="269"/>
      <c r="V520" s="269"/>
      <c r="W520" s="269"/>
      <c r="X520" s="269"/>
      <c r="Y520" s="269"/>
      <c r="Z520" s="269"/>
      <c r="AA520" s="269"/>
      <c r="AB520" s="269"/>
      <c r="AC520" s="269"/>
      <c r="AD520" s="269"/>
      <c r="AE520" s="269"/>
      <c r="AF520" s="269"/>
      <c r="AG520" s="269"/>
      <c r="AH520" s="269"/>
      <c r="AI520" s="269"/>
      <c r="AJ520" s="269"/>
      <c r="AK520" s="269"/>
      <c r="AL520" s="269"/>
      <c r="AM520" s="269"/>
      <c r="AN520" s="269"/>
      <c r="AO520" s="269"/>
      <c r="AP520" s="269"/>
      <c r="AQ520" s="269"/>
      <c r="AR520" s="269"/>
    </row>
    <row r="521" spans="1:44">
      <c r="A521" s="269"/>
      <c r="B521" s="269"/>
      <c r="C521" s="269"/>
      <c r="D521" s="269"/>
      <c r="E521" s="269"/>
      <c r="F521" s="269"/>
      <c r="G521" s="269"/>
      <c r="H521" s="269"/>
      <c r="I521" s="269"/>
      <c r="J521" s="269"/>
      <c r="K521" s="269"/>
      <c r="L521" s="269"/>
      <c r="M521" s="269"/>
      <c r="N521" s="269"/>
      <c r="O521" s="269"/>
      <c r="P521" s="269"/>
      <c r="Q521" s="269"/>
      <c r="R521" s="269"/>
      <c r="S521" s="269"/>
      <c r="T521" s="269"/>
      <c r="U521" s="269"/>
      <c r="V521" s="269"/>
      <c r="W521" s="269"/>
      <c r="X521" s="269"/>
      <c r="Y521" s="269"/>
      <c r="Z521" s="269"/>
      <c r="AA521" s="269"/>
      <c r="AB521" s="269"/>
      <c r="AC521" s="269"/>
      <c r="AD521" s="269"/>
      <c r="AE521" s="269"/>
      <c r="AF521" s="269"/>
      <c r="AG521" s="269"/>
      <c r="AH521" s="269"/>
      <c r="AI521" s="269"/>
      <c r="AJ521" s="269"/>
      <c r="AK521" s="269"/>
      <c r="AL521" s="269"/>
      <c r="AM521" s="269"/>
      <c r="AN521" s="269"/>
      <c r="AO521" s="269"/>
      <c r="AP521" s="269"/>
      <c r="AQ521" s="269"/>
      <c r="AR521" s="269"/>
    </row>
    <row r="522" spans="1:44">
      <c r="A522" s="269"/>
      <c r="B522" s="269"/>
      <c r="C522" s="269"/>
      <c r="D522" s="269"/>
      <c r="E522" s="269"/>
      <c r="F522" s="269"/>
      <c r="G522" s="269"/>
      <c r="H522" s="269"/>
      <c r="I522" s="269"/>
      <c r="J522" s="269"/>
      <c r="K522" s="269"/>
      <c r="L522" s="269"/>
      <c r="M522" s="269"/>
      <c r="N522" s="269"/>
      <c r="O522" s="269"/>
      <c r="P522" s="269"/>
      <c r="Q522" s="269"/>
      <c r="R522" s="269"/>
      <c r="S522" s="269"/>
      <c r="T522" s="269"/>
      <c r="U522" s="269"/>
      <c r="V522" s="269"/>
      <c r="W522" s="269"/>
      <c r="X522" s="269"/>
      <c r="Y522" s="269"/>
      <c r="Z522" s="269"/>
      <c r="AA522" s="269"/>
      <c r="AB522" s="269"/>
      <c r="AC522" s="269"/>
      <c r="AD522" s="269"/>
      <c r="AE522" s="269"/>
      <c r="AF522" s="269"/>
      <c r="AG522" s="269"/>
      <c r="AH522" s="269"/>
      <c r="AI522" s="269"/>
      <c r="AJ522" s="269"/>
      <c r="AK522" s="269"/>
      <c r="AL522" s="269"/>
      <c r="AM522" s="269"/>
      <c r="AN522" s="269"/>
      <c r="AO522" s="269"/>
      <c r="AP522" s="269"/>
      <c r="AQ522" s="269"/>
      <c r="AR522" s="269"/>
    </row>
    <row r="523" spans="1:44">
      <c r="A523" s="269"/>
      <c r="B523" s="269"/>
      <c r="C523" s="269"/>
      <c r="D523" s="269"/>
      <c r="E523" s="269"/>
      <c r="F523" s="269"/>
      <c r="G523" s="269"/>
      <c r="H523" s="269"/>
      <c r="I523" s="269"/>
      <c r="J523" s="269"/>
      <c r="K523" s="269"/>
      <c r="L523" s="269"/>
      <c r="M523" s="269"/>
      <c r="N523" s="269"/>
      <c r="O523" s="269"/>
      <c r="P523" s="269"/>
      <c r="Q523" s="269"/>
      <c r="R523" s="269"/>
      <c r="S523" s="269"/>
      <c r="T523" s="269"/>
      <c r="U523" s="269"/>
      <c r="V523" s="269"/>
      <c r="W523" s="269"/>
      <c r="X523" s="269"/>
      <c r="Y523" s="269"/>
      <c r="Z523" s="269"/>
      <c r="AA523" s="269"/>
      <c r="AB523" s="269"/>
      <c r="AC523" s="269"/>
      <c r="AD523" s="269"/>
      <c r="AE523" s="269"/>
      <c r="AF523" s="269"/>
      <c r="AG523" s="269"/>
      <c r="AH523" s="269"/>
      <c r="AI523" s="269"/>
      <c r="AJ523" s="269"/>
      <c r="AK523" s="269"/>
      <c r="AL523" s="269"/>
      <c r="AM523" s="269"/>
      <c r="AN523" s="269"/>
      <c r="AO523" s="269"/>
      <c r="AP523" s="269"/>
      <c r="AQ523" s="269"/>
      <c r="AR523" s="269"/>
    </row>
    <row r="524" spans="1:44">
      <c r="A524" s="269"/>
      <c r="B524" s="269"/>
      <c r="C524" s="269"/>
      <c r="D524" s="269"/>
      <c r="E524" s="269"/>
      <c r="F524" s="269"/>
      <c r="G524" s="269"/>
      <c r="H524" s="269"/>
      <c r="I524" s="269"/>
      <c r="J524" s="269"/>
      <c r="K524" s="269"/>
      <c r="L524" s="269"/>
      <c r="M524" s="269"/>
      <c r="N524" s="269"/>
      <c r="O524" s="269"/>
      <c r="P524" s="269"/>
      <c r="Q524" s="269"/>
      <c r="R524" s="269"/>
      <c r="S524" s="269"/>
      <c r="T524" s="269"/>
      <c r="U524" s="269"/>
      <c r="V524" s="269"/>
      <c r="W524" s="269"/>
      <c r="X524" s="269"/>
      <c r="Y524" s="269"/>
      <c r="Z524" s="269"/>
      <c r="AA524" s="269"/>
      <c r="AB524" s="269"/>
      <c r="AC524" s="269"/>
      <c r="AD524" s="269"/>
      <c r="AE524" s="269"/>
      <c r="AF524" s="269"/>
      <c r="AG524" s="269"/>
      <c r="AH524" s="269"/>
      <c r="AI524" s="269"/>
      <c r="AJ524" s="269"/>
      <c r="AK524" s="269"/>
      <c r="AL524" s="269"/>
      <c r="AM524" s="269"/>
      <c r="AN524" s="269"/>
      <c r="AO524" s="269"/>
      <c r="AP524" s="269"/>
      <c r="AQ524" s="269"/>
      <c r="AR524" s="269"/>
    </row>
    <row r="525" spans="1:44">
      <c r="A525" s="269"/>
      <c r="B525" s="269"/>
      <c r="C525" s="269"/>
      <c r="D525" s="269"/>
      <c r="E525" s="269"/>
      <c r="F525" s="269"/>
      <c r="G525" s="269"/>
      <c r="H525" s="269"/>
      <c r="I525" s="269"/>
      <c r="J525" s="269"/>
      <c r="K525" s="269"/>
      <c r="L525" s="269"/>
      <c r="M525" s="269"/>
      <c r="N525" s="269"/>
      <c r="O525" s="269"/>
      <c r="P525" s="269"/>
      <c r="Q525" s="269"/>
      <c r="R525" s="269"/>
      <c r="S525" s="269"/>
      <c r="T525" s="269"/>
      <c r="U525" s="269"/>
      <c r="V525" s="269"/>
      <c r="W525" s="269"/>
      <c r="X525" s="269"/>
      <c r="Y525" s="269"/>
      <c r="Z525" s="269"/>
      <c r="AA525" s="269"/>
      <c r="AB525" s="269"/>
      <c r="AC525" s="269"/>
      <c r="AD525" s="269"/>
      <c r="AE525" s="269"/>
      <c r="AF525" s="269"/>
      <c r="AG525" s="269"/>
      <c r="AH525" s="269"/>
      <c r="AI525" s="269"/>
      <c r="AJ525" s="269"/>
      <c r="AK525" s="269"/>
      <c r="AL525" s="269"/>
      <c r="AM525" s="269"/>
      <c r="AN525" s="269"/>
      <c r="AO525" s="269"/>
      <c r="AP525" s="269"/>
      <c r="AQ525" s="269"/>
      <c r="AR525" s="269"/>
    </row>
    <row r="526" spans="1:44">
      <c r="A526" s="269"/>
      <c r="B526" s="269"/>
      <c r="C526" s="269"/>
      <c r="D526" s="269"/>
      <c r="E526" s="269"/>
      <c r="F526" s="269"/>
      <c r="G526" s="269"/>
      <c r="H526" s="269"/>
      <c r="I526" s="269"/>
      <c r="J526" s="269"/>
      <c r="K526" s="269"/>
      <c r="L526" s="269"/>
      <c r="M526" s="269"/>
      <c r="N526" s="269"/>
      <c r="O526" s="269"/>
      <c r="P526" s="269"/>
      <c r="Q526" s="269"/>
      <c r="R526" s="269"/>
      <c r="S526" s="269"/>
      <c r="T526" s="269"/>
      <c r="U526" s="269"/>
      <c r="V526" s="269"/>
      <c r="W526" s="269"/>
      <c r="X526" s="269"/>
      <c r="Y526" s="269"/>
      <c r="Z526" s="269"/>
      <c r="AA526" s="269"/>
      <c r="AB526" s="269"/>
      <c r="AC526" s="269"/>
      <c r="AD526" s="269"/>
      <c r="AE526" s="269"/>
      <c r="AF526" s="269"/>
      <c r="AG526" s="269"/>
      <c r="AH526" s="269"/>
      <c r="AI526" s="269"/>
      <c r="AJ526" s="269"/>
      <c r="AK526" s="269"/>
      <c r="AL526" s="269"/>
      <c r="AM526" s="269"/>
      <c r="AN526" s="269"/>
      <c r="AO526" s="269"/>
      <c r="AP526" s="269"/>
      <c r="AQ526" s="269"/>
      <c r="AR526" s="269"/>
    </row>
    <row r="527" spans="1:44">
      <c r="A527" s="269"/>
      <c r="B527" s="269"/>
      <c r="C527" s="269"/>
      <c r="D527" s="269"/>
      <c r="E527" s="269"/>
      <c r="F527" s="269"/>
      <c r="G527" s="269"/>
      <c r="H527" s="269"/>
      <c r="I527" s="269"/>
      <c r="J527" s="269"/>
      <c r="K527" s="269"/>
      <c r="L527" s="269"/>
      <c r="M527" s="269"/>
      <c r="N527" s="269"/>
      <c r="O527" s="269"/>
      <c r="P527" s="269"/>
      <c r="Q527" s="269"/>
      <c r="R527" s="269"/>
      <c r="S527" s="269"/>
      <c r="T527" s="269"/>
      <c r="U527" s="269"/>
      <c r="V527" s="269"/>
      <c r="W527" s="269"/>
      <c r="X527" s="269"/>
      <c r="Y527" s="269"/>
      <c r="Z527" s="269"/>
      <c r="AA527" s="269"/>
      <c r="AB527" s="269"/>
      <c r="AC527" s="269"/>
      <c r="AD527" s="269"/>
      <c r="AE527" s="269"/>
      <c r="AF527" s="269"/>
      <c r="AG527" s="269"/>
      <c r="AH527" s="269"/>
      <c r="AI527" s="269"/>
      <c r="AJ527" s="269"/>
      <c r="AK527" s="269"/>
      <c r="AL527" s="269"/>
      <c r="AM527" s="269"/>
      <c r="AN527" s="269"/>
      <c r="AO527" s="269"/>
      <c r="AP527" s="269"/>
      <c r="AQ527" s="269"/>
      <c r="AR527" s="269"/>
    </row>
    <row r="528" spans="1:44">
      <c r="A528" s="269"/>
      <c r="B528" s="269"/>
      <c r="C528" s="269"/>
      <c r="D528" s="269"/>
      <c r="E528" s="269"/>
      <c r="F528" s="269"/>
      <c r="G528" s="269"/>
      <c r="H528" s="269"/>
      <c r="I528" s="269"/>
      <c r="J528" s="269"/>
      <c r="K528" s="269"/>
      <c r="L528" s="269"/>
      <c r="M528" s="269"/>
      <c r="N528" s="269"/>
      <c r="O528" s="269"/>
      <c r="P528" s="269"/>
      <c r="Q528" s="269"/>
      <c r="R528" s="269"/>
      <c r="S528" s="269"/>
      <c r="T528" s="269"/>
      <c r="U528" s="269"/>
      <c r="V528" s="269"/>
      <c r="W528" s="269"/>
      <c r="X528" s="269"/>
      <c r="Y528" s="269"/>
      <c r="Z528" s="269"/>
      <c r="AA528" s="269"/>
      <c r="AB528" s="269"/>
      <c r="AC528" s="269"/>
      <c r="AD528" s="269"/>
      <c r="AE528" s="269"/>
      <c r="AF528" s="269"/>
      <c r="AG528" s="269"/>
      <c r="AH528" s="269"/>
      <c r="AI528" s="269"/>
      <c r="AJ528" s="269"/>
      <c r="AK528" s="269"/>
      <c r="AL528" s="269"/>
      <c r="AM528" s="269"/>
      <c r="AN528" s="269"/>
      <c r="AO528" s="269"/>
      <c r="AP528" s="269"/>
      <c r="AQ528" s="269"/>
      <c r="AR528" s="269"/>
    </row>
    <row r="529" spans="1:44">
      <c r="A529" s="269"/>
      <c r="B529" s="269"/>
      <c r="C529" s="269"/>
      <c r="D529" s="269"/>
      <c r="E529" s="269"/>
      <c r="F529" s="269"/>
      <c r="G529" s="269"/>
      <c r="H529" s="269"/>
      <c r="I529" s="269"/>
      <c r="J529" s="269"/>
      <c r="K529" s="269"/>
      <c r="L529" s="269"/>
      <c r="M529" s="269"/>
      <c r="N529" s="269"/>
      <c r="O529" s="269"/>
      <c r="P529" s="269"/>
      <c r="Q529" s="269"/>
      <c r="R529" s="269"/>
      <c r="S529" s="269"/>
      <c r="T529" s="269"/>
      <c r="U529" s="269"/>
      <c r="V529" s="269"/>
      <c r="W529" s="269"/>
      <c r="X529" s="269"/>
      <c r="Y529" s="269"/>
      <c r="Z529" s="269"/>
      <c r="AA529" s="269"/>
      <c r="AB529" s="269"/>
      <c r="AC529" s="269"/>
      <c r="AD529" s="269"/>
      <c r="AE529" s="269"/>
      <c r="AF529" s="269"/>
      <c r="AG529" s="269"/>
      <c r="AH529" s="269"/>
      <c r="AI529" s="269"/>
      <c r="AJ529" s="269"/>
      <c r="AK529" s="269"/>
      <c r="AL529" s="269"/>
      <c r="AM529" s="269"/>
      <c r="AN529" s="269"/>
      <c r="AO529" s="269"/>
      <c r="AP529" s="269"/>
      <c r="AQ529" s="269"/>
      <c r="AR529" s="269"/>
    </row>
    <row r="530" spans="1:44">
      <c r="A530" s="269"/>
      <c r="B530" s="269"/>
      <c r="C530" s="269"/>
      <c r="D530" s="269"/>
      <c r="E530" s="269"/>
      <c r="F530" s="269"/>
      <c r="G530" s="269"/>
      <c r="H530" s="269"/>
      <c r="I530" s="269"/>
      <c r="J530" s="269"/>
      <c r="K530" s="269"/>
      <c r="L530" s="269"/>
      <c r="M530" s="269"/>
      <c r="N530" s="269"/>
      <c r="O530" s="269"/>
      <c r="P530" s="269"/>
      <c r="Q530" s="269"/>
      <c r="R530" s="269"/>
      <c r="S530" s="269"/>
      <c r="T530" s="269"/>
      <c r="U530" s="269"/>
      <c r="V530" s="269"/>
      <c r="W530" s="269"/>
      <c r="X530" s="269"/>
      <c r="Y530" s="269"/>
      <c r="Z530" s="269"/>
      <c r="AA530" s="269"/>
      <c r="AB530" s="269"/>
      <c r="AC530" s="269"/>
      <c r="AD530" s="269"/>
      <c r="AE530" s="269"/>
      <c r="AF530" s="269"/>
      <c r="AG530" s="269"/>
      <c r="AH530" s="269"/>
      <c r="AI530" s="269"/>
      <c r="AJ530" s="269"/>
      <c r="AK530" s="269"/>
      <c r="AL530" s="269"/>
      <c r="AM530" s="269"/>
      <c r="AN530" s="269"/>
      <c r="AO530" s="269"/>
      <c r="AP530" s="269"/>
      <c r="AQ530" s="269"/>
      <c r="AR530" s="269"/>
    </row>
    <row r="531" spans="1:44">
      <c r="A531" s="269"/>
      <c r="B531" s="269"/>
      <c r="C531" s="269"/>
      <c r="D531" s="269"/>
      <c r="E531" s="269"/>
      <c r="F531" s="269"/>
      <c r="G531" s="269"/>
      <c r="H531" s="269"/>
      <c r="I531" s="269"/>
      <c r="J531" s="269"/>
      <c r="K531" s="269"/>
      <c r="L531" s="269"/>
      <c r="M531" s="269"/>
      <c r="N531" s="269"/>
      <c r="O531" s="269"/>
      <c r="P531" s="269"/>
      <c r="Q531" s="269"/>
      <c r="R531" s="269"/>
      <c r="S531" s="269"/>
      <c r="T531" s="269"/>
      <c r="U531" s="269"/>
      <c r="V531" s="269"/>
      <c r="W531" s="269"/>
      <c r="X531" s="269"/>
      <c r="Y531" s="269"/>
      <c r="Z531" s="269"/>
      <c r="AA531" s="269"/>
      <c r="AB531" s="269"/>
      <c r="AC531" s="269"/>
      <c r="AD531" s="269"/>
      <c r="AE531" s="269"/>
      <c r="AF531" s="269"/>
      <c r="AG531" s="269"/>
      <c r="AH531" s="269"/>
      <c r="AI531" s="269"/>
      <c r="AJ531" s="269"/>
      <c r="AK531" s="269"/>
      <c r="AL531" s="269"/>
      <c r="AM531" s="269"/>
      <c r="AN531" s="269"/>
      <c r="AO531" s="269"/>
      <c r="AP531" s="269"/>
      <c r="AQ531" s="269"/>
      <c r="AR531" s="269"/>
    </row>
    <row r="532" spans="1:44">
      <c r="A532" s="269"/>
      <c r="B532" s="269"/>
      <c r="C532" s="269"/>
      <c r="D532" s="269"/>
      <c r="E532" s="269"/>
      <c r="F532" s="269"/>
      <c r="G532" s="269"/>
      <c r="H532" s="269"/>
      <c r="I532" s="269"/>
      <c r="J532" s="269"/>
      <c r="K532" s="269"/>
      <c r="L532" s="269"/>
      <c r="M532" s="269"/>
      <c r="N532" s="269"/>
      <c r="O532" s="269"/>
      <c r="P532" s="269"/>
      <c r="Q532" s="269"/>
      <c r="R532" s="269"/>
      <c r="S532" s="269"/>
      <c r="T532" s="269"/>
      <c r="U532" s="269"/>
      <c r="V532" s="269"/>
      <c r="W532" s="269"/>
      <c r="X532" s="269"/>
      <c r="Y532" s="269"/>
      <c r="Z532" s="269"/>
      <c r="AA532" s="269"/>
      <c r="AB532" s="269"/>
      <c r="AC532" s="269"/>
      <c r="AD532" s="269"/>
      <c r="AE532" s="269"/>
      <c r="AF532" s="269"/>
      <c r="AG532" s="269"/>
      <c r="AH532" s="269"/>
      <c r="AI532" s="269"/>
      <c r="AJ532" s="269"/>
      <c r="AK532" s="269"/>
      <c r="AL532" s="269"/>
      <c r="AM532" s="269"/>
      <c r="AN532" s="269"/>
      <c r="AO532" s="269"/>
      <c r="AP532" s="269"/>
      <c r="AQ532" s="269"/>
      <c r="AR532" s="269"/>
    </row>
    <row r="533" spans="1:44">
      <c r="A533" s="269"/>
      <c r="B533" s="269"/>
      <c r="C533" s="269"/>
      <c r="D533" s="269"/>
      <c r="E533" s="269"/>
      <c r="F533" s="269"/>
      <c r="G533" s="269"/>
      <c r="H533" s="269"/>
      <c r="I533" s="269"/>
      <c r="J533" s="269"/>
      <c r="K533" s="269"/>
      <c r="L533" s="269"/>
      <c r="M533" s="269"/>
      <c r="N533" s="269"/>
      <c r="O533" s="269"/>
      <c r="P533" s="269"/>
      <c r="Q533" s="269"/>
      <c r="R533" s="269"/>
      <c r="S533" s="269"/>
      <c r="T533" s="269"/>
      <c r="U533" s="269"/>
      <c r="V533" s="269"/>
      <c r="W533" s="269"/>
      <c r="X533" s="269"/>
      <c r="Y533" s="269"/>
      <c r="Z533" s="269"/>
      <c r="AA533" s="269"/>
      <c r="AB533" s="269"/>
      <c r="AC533" s="269"/>
      <c r="AD533" s="269"/>
      <c r="AE533" s="269"/>
      <c r="AF533" s="269"/>
      <c r="AG533" s="269"/>
      <c r="AH533" s="269"/>
      <c r="AI533" s="269"/>
      <c r="AJ533" s="269"/>
      <c r="AK533" s="269"/>
      <c r="AL533" s="269"/>
      <c r="AM533" s="269"/>
      <c r="AN533" s="269"/>
      <c r="AO533" s="269"/>
      <c r="AP533" s="269"/>
      <c r="AQ533" s="269"/>
      <c r="AR533" s="269"/>
    </row>
    <row r="534" spans="1:44">
      <c r="A534" s="269"/>
      <c r="B534" s="269"/>
      <c r="C534" s="269"/>
      <c r="D534" s="269"/>
      <c r="E534" s="269"/>
      <c r="F534" s="269"/>
      <c r="G534" s="269"/>
      <c r="H534" s="269"/>
      <c r="I534" s="269"/>
      <c r="J534" s="269"/>
      <c r="K534" s="269"/>
      <c r="L534" s="269"/>
      <c r="M534" s="269"/>
      <c r="N534" s="269"/>
      <c r="O534" s="269"/>
      <c r="P534" s="269"/>
      <c r="Q534" s="269"/>
      <c r="R534" s="269"/>
      <c r="S534" s="269"/>
      <c r="T534" s="269"/>
      <c r="U534" s="269"/>
      <c r="V534" s="269"/>
      <c r="W534" s="269"/>
      <c r="X534" s="269"/>
      <c r="Y534" s="269"/>
      <c r="Z534" s="269"/>
      <c r="AA534" s="269"/>
      <c r="AB534" s="269"/>
      <c r="AC534" s="269"/>
      <c r="AD534" s="269"/>
      <c r="AE534" s="269"/>
      <c r="AF534" s="269"/>
      <c r="AG534" s="269"/>
      <c r="AH534" s="269"/>
      <c r="AI534" s="269"/>
      <c r="AJ534" s="269"/>
      <c r="AK534" s="269"/>
      <c r="AL534" s="269"/>
      <c r="AM534" s="269"/>
      <c r="AN534" s="269"/>
      <c r="AO534" s="269"/>
      <c r="AP534" s="269"/>
      <c r="AQ534" s="269"/>
      <c r="AR534" s="269"/>
    </row>
    <row r="535" spans="1:44">
      <c r="A535" s="269"/>
      <c r="B535" s="269"/>
      <c r="C535" s="269"/>
      <c r="D535" s="269"/>
      <c r="E535" s="269"/>
      <c r="F535" s="269"/>
      <c r="G535" s="269"/>
      <c r="H535" s="269"/>
      <c r="I535" s="269"/>
      <c r="J535" s="269"/>
      <c r="K535" s="269"/>
      <c r="L535" s="269"/>
      <c r="M535" s="269"/>
      <c r="N535" s="269"/>
      <c r="O535" s="269"/>
      <c r="P535" s="269"/>
      <c r="Q535" s="269"/>
      <c r="R535" s="269"/>
      <c r="S535" s="269"/>
      <c r="T535" s="269"/>
      <c r="U535" s="269"/>
      <c r="V535" s="269"/>
      <c r="W535" s="269"/>
      <c r="X535" s="269"/>
      <c r="Y535" s="269"/>
      <c r="Z535" s="269"/>
      <c r="AA535" s="269"/>
      <c r="AB535" s="269"/>
      <c r="AC535" s="269"/>
      <c r="AD535" s="269"/>
      <c r="AE535" s="269"/>
      <c r="AF535" s="269"/>
      <c r="AG535" s="269"/>
      <c r="AH535" s="269"/>
      <c r="AI535" s="269"/>
      <c r="AJ535" s="269"/>
      <c r="AK535" s="269"/>
      <c r="AL535" s="269"/>
      <c r="AM535" s="269"/>
      <c r="AN535" s="269"/>
      <c r="AO535" s="269"/>
      <c r="AP535" s="269"/>
      <c r="AQ535" s="269"/>
      <c r="AR535" s="269"/>
    </row>
    <row r="536" spans="1:44">
      <c r="A536" s="269"/>
      <c r="B536" s="269"/>
      <c r="C536" s="269"/>
      <c r="D536" s="269"/>
      <c r="E536" s="269"/>
      <c r="F536" s="269"/>
      <c r="G536" s="269"/>
      <c r="H536" s="269"/>
      <c r="I536" s="269"/>
      <c r="J536" s="269"/>
      <c r="K536" s="269"/>
      <c r="L536" s="269"/>
      <c r="M536" s="269"/>
      <c r="N536" s="269"/>
      <c r="O536" s="269"/>
      <c r="P536" s="269"/>
      <c r="Q536" s="269"/>
      <c r="R536" s="269"/>
      <c r="S536" s="269"/>
      <c r="T536" s="269"/>
      <c r="U536" s="269"/>
      <c r="V536" s="269"/>
      <c r="W536" s="269"/>
      <c r="X536" s="269"/>
      <c r="Y536" s="269"/>
      <c r="Z536" s="269"/>
      <c r="AA536" s="269"/>
      <c r="AB536" s="269"/>
      <c r="AC536" s="269"/>
      <c r="AD536" s="269"/>
      <c r="AE536" s="269"/>
      <c r="AF536" s="269"/>
      <c r="AG536" s="269"/>
      <c r="AH536" s="269"/>
      <c r="AI536" s="269"/>
      <c r="AJ536" s="269"/>
      <c r="AK536" s="269"/>
      <c r="AL536" s="269"/>
      <c r="AM536" s="269"/>
      <c r="AN536" s="269"/>
      <c r="AO536" s="269"/>
      <c r="AP536" s="269"/>
      <c r="AQ536" s="269"/>
      <c r="AR536" s="269"/>
    </row>
    <row r="537" spans="1:44">
      <c r="A537" s="269"/>
      <c r="B537" s="269"/>
      <c r="C537" s="269"/>
      <c r="D537" s="269"/>
      <c r="E537" s="269"/>
      <c r="F537" s="269"/>
      <c r="G537" s="269"/>
      <c r="H537" s="269"/>
      <c r="I537" s="269"/>
      <c r="J537" s="269"/>
      <c r="K537" s="269"/>
      <c r="L537" s="269"/>
      <c r="M537" s="269"/>
      <c r="N537" s="269"/>
      <c r="O537" s="269"/>
      <c r="P537" s="269"/>
      <c r="Q537" s="269"/>
      <c r="R537" s="269"/>
      <c r="S537" s="269"/>
      <c r="T537" s="269"/>
      <c r="U537" s="269"/>
      <c r="V537" s="269"/>
      <c r="W537" s="269"/>
      <c r="X537" s="269"/>
      <c r="Y537" s="269"/>
      <c r="Z537" s="269"/>
      <c r="AA537" s="269"/>
      <c r="AB537" s="269"/>
      <c r="AC537" s="269"/>
      <c r="AD537" s="269"/>
      <c r="AE537" s="269"/>
      <c r="AF537" s="269"/>
      <c r="AG537" s="269"/>
      <c r="AH537" s="269"/>
      <c r="AI537" s="269"/>
      <c r="AJ537" s="269"/>
      <c r="AK537" s="269"/>
      <c r="AL537" s="269"/>
      <c r="AM537" s="269"/>
      <c r="AN537" s="269"/>
      <c r="AO537" s="269"/>
      <c r="AP537" s="269"/>
      <c r="AQ537" s="269"/>
      <c r="AR537" s="269"/>
    </row>
    <row r="538" spans="1:44">
      <c r="A538" s="269"/>
      <c r="B538" s="269"/>
      <c r="C538" s="269"/>
      <c r="D538" s="269"/>
      <c r="E538" s="269"/>
      <c r="F538" s="269"/>
      <c r="G538" s="269"/>
      <c r="H538" s="269"/>
      <c r="I538" s="269"/>
      <c r="J538" s="269"/>
      <c r="K538" s="269"/>
      <c r="L538" s="269"/>
      <c r="M538" s="269"/>
      <c r="N538" s="269"/>
      <c r="O538" s="269"/>
      <c r="P538" s="269"/>
      <c r="Q538" s="269"/>
      <c r="R538" s="269"/>
      <c r="S538" s="269"/>
      <c r="T538" s="269"/>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row>
    <row r="539" spans="1:44">
      <c r="A539" s="269"/>
      <c r="B539" s="269"/>
      <c r="C539" s="269"/>
      <c r="D539" s="269"/>
      <c r="E539" s="269"/>
      <c r="F539" s="269"/>
      <c r="G539" s="269"/>
      <c r="H539" s="269"/>
      <c r="I539" s="269"/>
      <c r="J539" s="269"/>
      <c r="K539" s="269"/>
      <c r="L539" s="269"/>
      <c r="M539" s="269"/>
      <c r="N539" s="269"/>
      <c r="O539" s="269"/>
      <c r="P539" s="269"/>
      <c r="Q539" s="269"/>
      <c r="R539" s="269"/>
      <c r="S539" s="269"/>
      <c r="T539" s="269"/>
      <c r="U539" s="269"/>
      <c r="V539" s="269"/>
      <c r="W539" s="269"/>
      <c r="X539" s="269"/>
      <c r="Y539" s="269"/>
      <c r="Z539" s="269"/>
      <c r="AA539" s="269"/>
      <c r="AB539" s="269"/>
      <c r="AC539" s="269"/>
      <c r="AD539" s="269"/>
      <c r="AE539" s="269"/>
      <c r="AF539" s="269"/>
      <c r="AG539" s="269"/>
      <c r="AH539" s="269"/>
      <c r="AI539" s="269"/>
      <c r="AJ539" s="269"/>
      <c r="AK539" s="269"/>
      <c r="AL539" s="269"/>
      <c r="AM539" s="269"/>
      <c r="AN539" s="269"/>
      <c r="AO539" s="269"/>
      <c r="AP539" s="269"/>
      <c r="AQ539" s="269"/>
      <c r="AR539" s="269"/>
    </row>
    <row r="540" spans="1:44">
      <c r="A540" s="269"/>
      <c r="B540" s="269"/>
      <c r="C540" s="269"/>
      <c r="D540" s="269"/>
      <c r="E540" s="269"/>
      <c r="F540" s="269"/>
      <c r="G540" s="269"/>
      <c r="H540" s="269"/>
      <c r="I540" s="269"/>
      <c r="J540" s="269"/>
      <c r="K540" s="269"/>
      <c r="L540" s="269"/>
      <c r="M540" s="269"/>
      <c r="N540" s="269"/>
      <c r="O540" s="269"/>
      <c r="P540" s="269"/>
      <c r="Q540" s="269"/>
      <c r="R540" s="269"/>
      <c r="S540" s="269"/>
      <c r="T540" s="269"/>
      <c r="U540" s="269"/>
      <c r="V540" s="269"/>
      <c r="W540" s="269"/>
      <c r="X540" s="269"/>
      <c r="Y540" s="269"/>
      <c r="Z540" s="269"/>
      <c r="AA540" s="269"/>
      <c r="AB540" s="269"/>
      <c r="AC540" s="269"/>
      <c r="AD540" s="269"/>
      <c r="AE540" s="269"/>
      <c r="AF540" s="269"/>
      <c r="AG540" s="269"/>
      <c r="AH540" s="269"/>
      <c r="AI540" s="269"/>
      <c r="AJ540" s="269"/>
      <c r="AK540" s="269"/>
      <c r="AL540" s="269"/>
      <c r="AM540" s="269"/>
      <c r="AN540" s="269"/>
      <c r="AO540" s="269"/>
      <c r="AP540" s="269"/>
      <c r="AQ540" s="269"/>
      <c r="AR540" s="269"/>
    </row>
    <row r="541" spans="1:44">
      <c r="A541" s="269"/>
      <c r="B541" s="269"/>
      <c r="C541" s="269"/>
      <c r="D541" s="269"/>
      <c r="E541" s="269"/>
      <c r="F541" s="269"/>
      <c r="G541" s="269"/>
      <c r="H541" s="269"/>
      <c r="I541" s="269"/>
      <c r="J541" s="269"/>
      <c r="K541" s="269"/>
      <c r="L541" s="269"/>
      <c r="M541" s="269"/>
      <c r="N541" s="269"/>
      <c r="O541" s="269"/>
      <c r="P541" s="269"/>
      <c r="Q541" s="269"/>
      <c r="R541" s="269"/>
      <c r="S541" s="269"/>
      <c r="T541" s="269"/>
      <c r="U541" s="269"/>
      <c r="V541" s="269"/>
      <c r="W541" s="269"/>
      <c r="X541" s="269"/>
      <c r="Y541" s="269"/>
      <c r="Z541" s="269"/>
      <c r="AA541" s="269"/>
      <c r="AB541" s="269"/>
      <c r="AC541" s="269"/>
      <c r="AD541" s="269"/>
      <c r="AE541" s="269"/>
      <c r="AF541" s="269"/>
      <c r="AG541" s="269"/>
      <c r="AH541" s="269"/>
      <c r="AI541" s="269"/>
      <c r="AJ541" s="269"/>
      <c r="AK541" s="269"/>
      <c r="AL541" s="269"/>
      <c r="AM541" s="269"/>
      <c r="AN541" s="269"/>
      <c r="AO541" s="269"/>
      <c r="AP541" s="269"/>
      <c r="AQ541" s="269"/>
      <c r="AR541" s="269"/>
    </row>
    <row r="542" spans="1:44">
      <c r="A542" s="269"/>
      <c r="B542" s="269"/>
      <c r="C542" s="269"/>
      <c r="D542" s="269"/>
      <c r="E542" s="269"/>
      <c r="F542" s="269"/>
      <c r="G542" s="269"/>
      <c r="H542" s="269"/>
      <c r="I542" s="269"/>
      <c r="J542" s="269"/>
      <c r="K542" s="269"/>
      <c r="L542" s="269"/>
      <c r="M542" s="269"/>
      <c r="N542" s="269"/>
      <c r="O542" s="269"/>
      <c r="P542" s="269"/>
      <c r="Q542" s="269"/>
      <c r="R542" s="269"/>
      <c r="S542" s="269"/>
      <c r="T542" s="269"/>
      <c r="U542" s="269"/>
      <c r="V542" s="269"/>
      <c r="W542" s="269"/>
      <c r="X542" s="269"/>
      <c r="Y542" s="269"/>
      <c r="Z542" s="269"/>
      <c r="AA542" s="269"/>
      <c r="AB542" s="269"/>
      <c r="AC542" s="269"/>
      <c r="AD542" s="269"/>
      <c r="AE542" s="269"/>
      <c r="AF542" s="269"/>
      <c r="AG542" s="269"/>
      <c r="AH542" s="269"/>
      <c r="AI542" s="269"/>
      <c r="AJ542" s="269"/>
      <c r="AK542" s="269"/>
      <c r="AL542" s="269"/>
      <c r="AM542" s="269"/>
      <c r="AN542" s="269"/>
      <c r="AO542" s="269"/>
      <c r="AP542" s="269"/>
      <c r="AQ542" s="269"/>
      <c r="AR542" s="269"/>
    </row>
    <row r="543" spans="1:44">
      <c r="A543" s="269"/>
      <c r="B543" s="269"/>
      <c r="C543" s="269"/>
      <c r="D543" s="269"/>
      <c r="E543" s="269"/>
      <c r="F543" s="269"/>
      <c r="G543" s="269"/>
      <c r="H543" s="269"/>
      <c r="I543" s="269"/>
      <c r="J543" s="269"/>
      <c r="K543" s="269"/>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row>
    <row r="544" spans="1:44">
      <c r="A544" s="269"/>
      <c r="B544" s="269"/>
      <c r="C544" s="269"/>
      <c r="D544" s="269"/>
      <c r="E544" s="269"/>
      <c r="F544" s="269"/>
      <c r="G544" s="269"/>
      <c r="H544" s="269"/>
      <c r="I544" s="269"/>
      <c r="J544" s="269"/>
      <c r="K544" s="269"/>
      <c r="L544" s="269"/>
      <c r="M544" s="269"/>
      <c r="N544" s="269"/>
      <c r="O544" s="269"/>
      <c r="P544" s="269"/>
      <c r="Q544" s="269"/>
      <c r="R544" s="269"/>
      <c r="S544" s="269"/>
      <c r="T544" s="269"/>
      <c r="U544" s="269"/>
      <c r="V544" s="269"/>
      <c r="W544" s="269"/>
      <c r="X544" s="269"/>
      <c r="Y544" s="269"/>
      <c r="Z544" s="269"/>
      <c r="AA544" s="269"/>
      <c r="AB544" s="269"/>
      <c r="AC544" s="269"/>
      <c r="AD544" s="269"/>
      <c r="AE544" s="269"/>
      <c r="AF544" s="269"/>
      <c r="AG544" s="269"/>
      <c r="AH544" s="269"/>
      <c r="AI544" s="269"/>
      <c r="AJ544" s="269"/>
      <c r="AK544" s="269"/>
      <c r="AL544" s="269"/>
      <c r="AM544" s="269"/>
      <c r="AN544" s="269"/>
      <c r="AO544" s="269"/>
      <c r="AP544" s="269"/>
      <c r="AQ544" s="269"/>
      <c r="AR544" s="269"/>
    </row>
    <row r="545" spans="1:44">
      <c r="A545" s="269"/>
      <c r="B545" s="269"/>
      <c r="C545" s="269"/>
      <c r="D545" s="269"/>
      <c r="E545" s="269"/>
      <c r="F545" s="269"/>
      <c r="G545" s="269"/>
      <c r="H545" s="269"/>
      <c r="I545" s="269"/>
      <c r="J545" s="269"/>
      <c r="K545" s="269"/>
      <c r="L545" s="269"/>
      <c r="M545" s="269"/>
      <c r="N545" s="269"/>
      <c r="O545" s="269"/>
      <c r="P545" s="269"/>
      <c r="Q545" s="269"/>
      <c r="R545" s="269"/>
      <c r="S545" s="269"/>
      <c r="T545" s="269"/>
      <c r="U545" s="269"/>
      <c r="V545" s="269"/>
      <c r="W545" s="269"/>
      <c r="X545" s="269"/>
      <c r="Y545" s="269"/>
      <c r="Z545" s="269"/>
      <c r="AA545" s="269"/>
      <c r="AB545" s="269"/>
      <c r="AC545" s="269"/>
      <c r="AD545" s="269"/>
      <c r="AE545" s="269"/>
      <c r="AF545" s="269"/>
      <c r="AG545" s="269"/>
      <c r="AH545" s="269"/>
      <c r="AI545" s="269"/>
      <c r="AJ545" s="269"/>
      <c r="AK545" s="269"/>
      <c r="AL545" s="269"/>
      <c r="AM545" s="269"/>
      <c r="AN545" s="269"/>
      <c r="AO545" s="269"/>
      <c r="AP545" s="269"/>
      <c r="AQ545" s="269"/>
      <c r="AR545" s="269"/>
    </row>
    <row r="546" spans="1:44">
      <c r="A546" s="269"/>
      <c r="B546" s="269"/>
      <c r="C546" s="269"/>
      <c r="D546" s="269"/>
      <c r="E546" s="269"/>
      <c r="F546" s="269"/>
      <c r="G546" s="269"/>
      <c r="H546" s="269"/>
      <c r="I546" s="269"/>
      <c r="J546" s="269"/>
      <c r="K546" s="269"/>
      <c r="L546" s="269"/>
      <c r="M546" s="269"/>
      <c r="N546" s="269"/>
      <c r="O546" s="269"/>
      <c r="P546" s="269"/>
      <c r="Q546" s="269"/>
      <c r="R546" s="269"/>
      <c r="S546" s="269"/>
      <c r="T546" s="269"/>
      <c r="U546" s="269"/>
      <c r="V546" s="269"/>
      <c r="W546" s="269"/>
      <c r="X546" s="269"/>
      <c r="Y546" s="269"/>
      <c r="Z546" s="269"/>
      <c r="AA546" s="269"/>
      <c r="AB546" s="269"/>
      <c r="AC546" s="269"/>
      <c r="AD546" s="269"/>
      <c r="AE546" s="269"/>
      <c r="AF546" s="269"/>
      <c r="AG546" s="269"/>
      <c r="AH546" s="269"/>
      <c r="AI546" s="269"/>
      <c r="AJ546" s="269"/>
      <c r="AK546" s="269"/>
      <c r="AL546" s="269"/>
      <c r="AM546" s="269"/>
      <c r="AN546" s="269"/>
      <c r="AO546" s="269"/>
      <c r="AP546" s="269"/>
      <c r="AQ546" s="269"/>
      <c r="AR546" s="269"/>
    </row>
    <row r="547" spans="1:44">
      <c r="A547" s="269"/>
      <c r="B547" s="269"/>
      <c r="C547" s="269"/>
      <c r="D547" s="269"/>
      <c r="E547" s="269"/>
      <c r="F547" s="269"/>
      <c r="G547" s="269"/>
      <c r="H547" s="269"/>
      <c r="I547" s="269"/>
      <c r="J547" s="269"/>
      <c r="K547" s="269"/>
      <c r="L547" s="269"/>
      <c r="M547" s="269"/>
      <c r="N547" s="269"/>
      <c r="O547" s="269"/>
      <c r="P547" s="269"/>
      <c r="Q547" s="269"/>
      <c r="R547" s="269"/>
      <c r="S547" s="269"/>
      <c r="T547" s="269"/>
      <c r="U547" s="269"/>
      <c r="V547" s="269"/>
      <c r="W547" s="269"/>
      <c r="X547" s="269"/>
      <c r="Y547" s="269"/>
      <c r="Z547" s="269"/>
      <c r="AA547" s="269"/>
      <c r="AB547" s="269"/>
      <c r="AC547" s="269"/>
      <c r="AD547" s="269"/>
      <c r="AE547" s="269"/>
      <c r="AF547" s="269"/>
      <c r="AG547" s="269"/>
      <c r="AH547" s="269"/>
      <c r="AI547" s="269"/>
      <c r="AJ547" s="269"/>
      <c r="AK547" s="269"/>
      <c r="AL547" s="269"/>
      <c r="AM547" s="269"/>
      <c r="AN547" s="269"/>
      <c r="AO547" s="269"/>
      <c r="AP547" s="269"/>
      <c r="AQ547" s="269"/>
      <c r="AR547" s="269"/>
    </row>
    <row r="548" spans="1:44">
      <c r="A548" s="269"/>
      <c r="B548" s="269"/>
      <c r="C548" s="269"/>
      <c r="D548" s="269"/>
      <c r="E548" s="269"/>
      <c r="F548" s="269"/>
      <c r="G548" s="269"/>
      <c r="H548" s="269"/>
      <c r="I548" s="269"/>
      <c r="J548" s="269"/>
      <c r="K548" s="269"/>
      <c r="L548" s="269"/>
      <c r="M548" s="269"/>
      <c r="N548" s="269"/>
      <c r="O548" s="269"/>
      <c r="P548" s="269"/>
      <c r="Q548" s="269"/>
      <c r="R548" s="269"/>
      <c r="S548" s="269"/>
      <c r="T548" s="269"/>
      <c r="U548" s="269"/>
      <c r="V548" s="269"/>
      <c r="W548" s="269"/>
      <c r="X548" s="269"/>
      <c r="Y548" s="269"/>
      <c r="Z548" s="269"/>
      <c r="AA548" s="269"/>
      <c r="AB548" s="269"/>
      <c r="AC548" s="269"/>
      <c r="AD548" s="269"/>
      <c r="AE548" s="269"/>
      <c r="AF548" s="269"/>
      <c r="AG548" s="269"/>
      <c r="AH548" s="269"/>
      <c r="AI548" s="269"/>
      <c r="AJ548" s="269"/>
      <c r="AK548" s="269"/>
      <c r="AL548" s="269"/>
      <c r="AM548" s="269"/>
      <c r="AN548" s="269"/>
      <c r="AO548" s="269"/>
      <c r="AP548" s="269"/>
      <c r="AQ548" s="269"/>
      <c r="AR548" s="269"/>
    </row>
    <row r="549" spans="1:44">
      <c r="A549" s="269"/>
      <c r="B549" s="269"/>
      <c r="C549" s="269"/>
      <c r="D549" s="269"/>
      <c r="E549" s="269"/>
      <c r="F549" s="269"/>
      <c r="G549" s="269"/>
      <c r="H549" s="269"/>
      <c r="I549" s="269"/>
      <c r="J549" s="269"/>
      <c r="K549" s="269"/>
      <c r="L549" s="269"/>
      <c r="M549" s="269"/>
      <c r="N549" s="269"/>
      <c r="O549" s="269"/>
      <c r="P549" s="269"/>
      <c r="Q549" s="269"/>
      <c r="R549" s="269"/>
      <c r="S549" s="269"/>
      <c r="T549" s="269"/>
      <c r="U549" s="269"/>
      <c r="V549" s="269"/>
      <c r="W549" s="269"/>
      <c r="X549" s="269"/>
      <c r="Y549" s="269"/>
      <c r="Z549" s="269"/>
      <c r="AA549" s="269"/>
      <c r="AB549" s="269"/>
      <c r="AC549" s="269"/>
      <c r="AD549" s="269"/>
      <c r="AE549" s="269"/>
      <c r="AF549" s="269"/>
      <c r="AG549" s="269"/>
      <c r="AH549" s="269"/>
      <c r="AI549" s="269"/>
      <c r="AJ549" s="269"/>
      <c r="AK549" s="269"/>
      <c r="AL549" s="269"/>
      <c r="AM549" s="269"/>
      <c r="AN549" s="269"/>
      <c r="AO549" s="269"/>
      <c r="AP549" s="269"/>
      <c r="AQ549" s="269"/>
      <c r="AR549" s="269"/>
    </row>
    <row r="550" spans="1:44">
      <c r="A550" s="269"/>
      <c r="B550" s="269"/>
      <c r="C550" s="269"/>
      <c r="D550" s="269"/>
      <c r="E550" s="269"/>
      <c r="F550" s="269"/>
      <c r="G550" s="269"/>
      <c r="H550" s="269"/>
      <c r="I550" s="269"/>
      <c r="J550" s="269"/>
      <c r="K550" s="269"/>
      <c r="L550" s="269"/>
      <c r="M550" s="269"/>
      <c r="N550" s="269"/>
      <c r="O550" s="269"/>
      <c r="P550" s="269"/>
      <c r="Q550" s="269"/>
      <c r="R550" s="269"/>
      <c r="S550" s="269"/>
      <c r="T550" s="269"/>
      <c r="U550" s="269"/>
      <c r="V550" s="269"/>
      <c r="W550" s="269"/>
      <c r="X550" s="269"/>
      <c r="Y550" s="269"/>
      <c r="Z550" s="269"/>
      <c r="AA550" s="269"/>
      <c r="AB550" s="269"/>
      <c r="AC550" s="269"/>
      <c r="AD550" s="269"/>
      <c r="AE550" s="269"/>
      <c r="AF550" s="269"/>
      <c r="AG550" s="269"/>
      <c r="AH550" s="269"/>
      <c r="AI550" s="269"/>
      <c r="AJ550" s="269"/>
      <c r="AK550" s="269"/>
      <c r="AL550" s="269"/>
      <c r="AM550" s="269"/>
      <c r="AN550" s="269"/>
      <c r="AO550" s="269"/>
      <c r="AP550" s="269"/>
      <c r="AQ550" s="269"/>
      <c r="AR550" s="269"/>
    </row>
    <row r="551" spans="1:44">
      <c r="A551" s="269"/>
      <c r="B551" s="269"/>
      <c r="C551" s="269"/>
      <c r="D551" s="269"/>
      <c r="E551" s="269"/>
      <c r="F551" s="269"/>
      <c r="G551" s="269"/>
      <c r="H551" s="269"/>
      <c r="I551" s="269"/>
      <c r="J551" s="269"/>
      <c r="K551" s="269"/>
      <c r="L551" s="269"/>
      <c r="M551" s="269"/>
      <c r="N551" s="269"/>
      <c r="O551" s="269"/>
      <c r="P551" s="269"/>
      <c r="Q551" s="269"/>
      <c r="R551" s="269"/>
      <c r="S551" s="269"/>
      <c r="T551" s="269"/>
      <c r="U551" s="269"/>
      <c r="V551" s="269"/>
      <c r="W551" s="269"/>
      <c r="X551" s="269"/>
      <c r="Y551" s="269"/>
      <c r="Z551" s="269"/>
      <c r="AA551" s="269"/>
      <c r="AB551" s="269"/>
      <c r="AC551" s="269"/>
      <c r="AD551" s="269"/>
      <c r="AE551" s="269"/>
      <c r="AF551" s="269"/>
      <c r="AG551" s="269"/>
      <c r="AH551" s="269"/>
      <c r="AI551" s="269"/>
      <c r="AJ551" s="269"/>
      <c r="AK551" s="269"/>
      <c r="AL551" s="269"/>
      <c r="AM551" s="269"/>
      <c r="AN551" s="269"/>
      <c r="AO551" s="269"/>
      <c r="AP551" s="269"/>
      <c r="AQ551" s="269"/>
      <c r="AR551" s="269"/>
    </row>
    <row r="552" spans="1:44">
      <c r="A552" s="269"/>
      <c r="B552" s="269"/>
      <c r="C552" s="269"/>
      <c r="D552" s="269"/>
      <c r="E552" s="269"/>
      <c r="F552" s="269"/>
      <c r="G552" s="269"/>
      <c r="H552" s="269"/>
      <c r="I552" s="269"/>
      <c r="J552" s="269"/>
      <c r="K552" s="269"/>
      <c r="L552" s="269"/>
      <c r="M552" s="269"/>
      <c r="N552" s="269"/>
      <c r="O552" s="269"/>
      <c r="P552" s="269"/>
      <c r="Q552" s="269"/>
      <c r="R552" s="269"/>
      <c r="S552" s="269"/>
      <c r="T552" s="269"/>
      <c r="U552" s="269"/>
      <c r="V552" s="269"/>
      <c r="W552" s="269"/>
      <c r="X552" s="269"/>
      <c r="Y552" s="269"/>
      <c r="Z552" s="269"/>
      <c r="AA552" s="269"/>
      <c r="AB552" s="269"/>
      <c r="AC552" s="269"/>
      <c r="AD552" s="269"/>
      <c r="AE552" s="269"/>
      <c r="AF552" s="269"/>
      <c r="AG552" s="269"/>
      <c r="AH552" s="269"/>
      <c r="AI552" s="269"/>
      <c r="AJ552" s="269"/>
      <c r="AK552" s="269"/>
      <c r="AL552" s="269"/>
      <c r="AM552" s="269"/>
      <c r="AN552" s="269"/>
      <c r="AO552" s="269"/>
      <c r="AP552" s="269"/>
      <c r="AQ552" s="269"/>
      <c r="AR552" s="269"/>
    </row>
    <row r="553" spans="1:44">
      <c r="A553" s="269"/>
      <c r="B553" s="269"/>
      <c r="C553" s="269"/>
      <c r="D553" s="269"/>
      <c r="E553" s="269"/>
      <c r="F553" s="269"/>
      <c r="G553" s="269"/>
      <c r="H553" s="269"/>
      <c r="I553" s="269"/>
      <c r="J553" s="269"/>
      <c r="K553" s="269"/>
      <c r="L553" s="269"/>
      <c r="M553" s="269"/>
      <c r="N553" s="269"/>
      <c r="O553" s="269"/>
      <c r="P553" s="269"/>
      <c r="Q553" s="269"/>
      <c r="R553" s="269"/>
      <c r="S553" s="269"/>
      <c r="T553" s="269"/>
      <c r="U553" s="269"/>
      <c r="V553" s="269"/>
      <c r="W553" s="269"/>
      <c r="X553" s="269"/>
      <c r="Y553" s="269"/>
      <c r="Z553" s="269"/>
      <c r="AA553" s="269"/>
      <c r="AB553" s="269"/>
      <c r="AC553" s="269"/>
      <c r="AD553" s="269"/>
      <c r="AE553" s="269"/>
      <c r="AF553" s="269"/>
      <c r="AG553" s="269"/>
      <c r="AH553" s="269"/>
      <c r="AI553" s="269"/>
      <c r="AJ553" s="269"/>
      <c r="AK553" s="269"/>
      <c r="AL553" s="269"/>
      <c r="AM553" s="269"/>
      <c r="AN553" s="269"/>
      <c r="AO553" s="269"/>
      <c r="AP553" s="269"/>
      <c r="AQ553" s="269"/>
      <c r="AR553" s="269"/>
    </row>
    <row r="554" spans="1:44">
      <c r="A554" s="269"/>
      <c r="B554" s="269"/>
      <c r="C554" s="269"/>
      <c r="D554" s="269"/>
      <c r="E554" s="269"/>
      <c r="F554" s="269"/>
      <c r="G554" s="269"/>
      <c r="H554" s="269"/>
      <c r="I554" s="269"/>
      <c r="J554" s="269"/>
      <c r="K554" s="269"/>
      <c r="L554" s="269"/>
      <c r="M554" s="269"/>
      <c r="N554" s="269"/>
      <c r="O554" s="269"/>
      <c r="P554" s="269"/>
      <c r="Q554" s="269"/>
      <c r="R554" s="269"/>
      <c r="S554" s="269"/>
      <c r="T554" s="269"/>
      <c r="U554" s="269"/>
      <c r="V554" s="269"/>
      <c r="W554" s="269"/>
      <c r="X554" s="269"/>
      <c r="Y554" s="269"/>
      <c r="Z554" s="269"/>
      <c r="AA554" s="269"/>
      <c r="AB554" s="269"/>
      <c r="AC554" s="269"/>
      <c r="AD554" s="269"/>
      <c r="AE554" s="269"/>
      <c r="AF554" s="269"/>
      <c r="AG554" s="269"/>
      <c r="AH554" s="269"/>
      <c r="AI554" s="269"/>
      <c r="AJ554" s="269"/>
      <c r="AK554" s="269"/>
      <c r="AL554" s="269"/>
      <c r="AM554" s="269"/>
      <c r="AN554" s="269"/>
      <c r="AO554" s="269"/>
      <c r="AP554" s="269"/>
      <c r="AQ554" s="269"/>
      <c r="AR554" s="269"/>
    </row>
    <row r="555" spans="1:44">
      <c r="A555" s="269"/>
      <c r="B555" s="269"/>
      <c r="C555" s="269"/>
      <c r="D555" s="269"/>
      <c r="E555" s="269"/>
      <c r="F555" s="269"/>
      <c r="G555" s="269"/>
      <c r="H555" s="269"/>
      <c r="I555" s="269"/>
      <c r="J555" s="269"/>
      <c r="K555" s="269"/>
      <c r="L555" s="269"/>
      <c r="M555" s="269"/>
      <c r="N555" s="269"/>
      <c r="O555" s="269"/>
      <c r="P555" s="269"/>
      <c r="Q555" s="269"/>
      <c r="R555" s="269"/>
      <c r="S555" s="269"/>
      <c r="T555" s="269"/>
      <c r="U555" s="269"/>
      <c r="V555" s="269"/>
      <c r="W555" s="269"/>
      <c r="X555" s="269"/>
      <c r="Y555" s="269"/>
      <c r="Z555" s="269"/>
      <c r="AA555" s="269"/>
      <c r="AB555" s="269"/>
      <c r="AC555" s="269"/>
      <c r="AD555" s="269"/>
      <c r="AE555" s="269"/>
      <c r="AF555" s="269"/>
      <c r="AG555" s="269"/>
      <c r="AH555" s="269"/>
      <c r="AI555" s="269"/>
      <c r="AJ555" s="269"/>
      <c r="AK555" s="269"/>
      <c r="AL555" s="269"/>
      <c r="AM555" s="269"/>
      <c r="AN555" s="269"/>
      <c r="AO555" s="269"/>
      <c r="AP555" s="269"/>
      <c r="AQ555" s="269"/>
      <c r="AR555" s="269"/>
    </row>
    <row r="556" spans="1:44">
      <c r="A556" s="269"/>
      <c r="B556" s="269"/>
      <c r="C556" s="269"/>
      <c r="D556" s="269"/>
      <c r="E556" s="269"/>
      <c r="F556" s="269"/>
      <c r="G556" s="269"/>
      <c r="H556" s="269"/>
      <c r="I556" s="269"/>
      <c r="J556" s="269"/>
      <c r="K556" s="269"/>
      <c r="L556" s="269"/>
      <c r="M556" s="269"/>
      <c r="N556" s="269"/>
      <c r="O556" s="269"/>
      <c r="P556" s="269"/>
      <c r="Q556" s="269"/>
      <c r="R556" s="269"/>
      <c r="S556" s="269"/>
      <c r="T556" s="269"/>
      <c r="U556" s="269"/>
      <c r="V556" s="269"/>
      <c r="W556" s="269"/>
      <c r="X556" s="269"/>
      <c r="Y556" s="269"/>
      <c r="Z556" s="269"/>
      <c r="AA556" s="269"/>
      <c r="AB556" s="269"/>
      <c r="AC556" s="269"/>
      <c r="AD556" s="269"/>
      <c r="AE556" s="269"/>
      <c r="AF556" s="269"/>
      <c r="AG556" s="269"/>
      <c r="AH556" s="269"/>
      <c r="AI556" s="269"/>
      <c r="AJ556" s="269"/>
      <c r="AK556" s="269"/>
      <c r="AL556" s="269"/>
      <c r="AM556" s="269"/>
      <c r="AN556" s="269"/>
      <c r="AO556" s="269"/>
      <c r="AP556" s="269"/>
      <c r="AQ556" s="269"/>
      <c r="AR556" s="269"/>
    </row>
    <row r="557" spans="1:44">
      <c r="A557" s="269"/>
      <c r="B557" s="269"/>
      <c r="C557" s="269"/>
      <c r="D557" s="269"/>
      <c r="E557" s="269"/>
      <c r="F557" s="269"/>
      <c r="G557" s="269"/>
      <c r="H557" s="269"/>
      <c r="I557" s="269"/>
      <c r="J557" s="269"/>
      <c r="K557" s="269"/>
      <c r="L557" s="269"/>
      <c r="M557" s="269"/>
      <c r="N557" s="269"/>
      <c r="O557" s="269"/>
      <c r="P557" s="269"/>
      <c r="Q557" s="269"/>
      <c r="R557" s="269"/>
      <c r="S557" s="269"/>
      <c r="T557" s="269"/>
      <c r="U557" s="269"/>
      <c r="V557" s="269"/>
      <c r="W557" s="269"/>
      <c r="X557" s="269"/>
      <c r="Y557" s="269"/>
      <c r="Z557" s="269"/>
      <c r="AA557" s="269"/>
      <c r="AB557" s="269"/>
      <c r="AC557" s="269"/>
      <c r="AD557" s="269"/>
      <c r="AE557" s="269"/>
      <c r="AF557" s="269"/>
      <c r="AG557" s="269"/>
      <c r="AH557" s="269"/>
      <c r="AI557" s="269"/>
      <c r="AJ557" s="269"/>
      <c r="AK557" s="269"/>
      <c r="AL557" s="269"/>
      <c r="AM557" s="269"/>
      <c r="AN557" s="269"/>
      <c r="AO557" s="269"/>
      <c r="AP557" s="269"/>
      <c r="AQ557" s="269"/>
      <c r="AR557" s="269"/>
    </row>
    <row r="558" spans="1:44">
      <c r="A558" s="269"/>
      <c r="B558" s="269"/>
      <c r="C558" s="269"/>
      <c r="D558" s="269"/>
      <c r="E558" s="269"/>
      <c r="F558" s="269"/>
      <c r="G558" s="269"/>
      <c r="H558" s="269"/>
      <c r="I558" s="269"/>
      <c r="J558" s="269"/>
      <c r="K558" s="269"/>
      <c r="L558" s="269"/>
      <c r="M558" s="269"/>
      <c r="N558" s="269"/>
      <c r="O558" s="269"/>
      <c r="P558" s="269"/>
      <c r="Q558" s="269"/>
      <c r="R558" s="269"/>
      <c r="S558" s="269"/>
      <c r="T558" s="269"/>
      <c r="U558" s="269"/>
      <c r="V558" s="269"/>
      <c r="W558" s="269"/>
      <c r="X558" s="269"/>
      <c r="Y558" s="269"/>
      <c r="Z558" s="269"/>
      <c r="AA558" s="269"/>
      <c r="AB558" s="269"/>
      <c r="AC558" s="269"/>
      <c r="AD558" s="269"/>
      <c r="AE558" s="269"/>
      <c r="AF558" s="269"/>
      <c r="AG558" s="269"/>
      <c r="AH558" s="269"/>
      <c r="AI558" s="269"/>
      <c r="AJ558" s="269"/>
      <c r="AK558" s="269"/>
      <c r="AL558" s="269"/>
      <c r="AM558" s="269"/>
      <c r="AN558" s="269"/>
      <c r="AO558" s="269"/>
      <c r="AP558" s="269"/>
      <c r="AQ558" s="269"/>
      <c r="AR558" s="269"/>
    </row>
    <row r="559" spans="1:44">
      <c r="A559" s="269"/>
      <c r="B559" s="269"/>
      <c r="C559" s="269"/>
      <c r="D559" s="269"/>
      <c r="E559" s="269"/>
      <c r="F559" s="269"/>
      <c r="G559" s="269"/>
      <c r="H559" s="269"/>
      <c r="I559" s="269"/>
      <c r="J559" s="269"/>
      <c r="K559" s="269"/>
      <c r="L559" s="269"/>
      <c r="M559" s="269"/>
      <c r="N559" s="269"/>
      <c r="O559" s="269"/>
      <c r="P559" s="269"/>
      <c r="Q559" s="269"/>
      <c r="R559" s="269"/>
      <c r="S559" s="269"/>
      <c r="T559" s="269"/>
      <c r="U559" s="269"/>
      <c r="V559" s="269"/>
      <c r="W559" s="269"/>
      <c r="X559" s="269"/>
      <c r="Y559" s="269"/>
      <c r="Z559" s="269"/>
      <c r="AA559" s="269"/>
      <c r="AB559" s="269"/>
      <c r="AC559" s="269"/>
      <c r="AD559" s="269"/>
      <c r="AE559" s="269"/>
      <c r="AF559" s="269"/>
      <c r="AG559" s="269"/>
      <c r="AH559" s="269"/>
      <c r="AI559" s="269"/>
      <c r="AJ559" s="269"/>
      <c r="AK559" s="269"/>
      <c r="AL559" s="269"/>
      <c r="AM559" s="269"/>
      <c r="AN559" s="269"/>
      <c r="AO559" s="269"/>
      <c r="AP559" s="269"/>
      <c r="AQ559" s="269"/>
      <c r="AR559" s="269"/>
    </row>
    <row r="560" spans="1:44">
      <c r="A560" s="269"/>
      <c r="B560" s="269"/>
      <c r="C560" s="269"/>
      <c r="D560" s="269"/>
      <c r="E560" s="269"/>
      <c r="F560" s="269"/>
      <c r="G560" s="269"/>
      <c r="H560" s="269"/>
      <c r="I560" s="269"/>
      <c r="J560" s="269"/>
      <c r="K560" s="269"/>
      <c r="L560" s="269"/>
      <c r="M560" s="269"/>
      <c r="N560" s="269"/>
      <c r="O560" s="269"/>
      <c r="P560" s="269"/>
      <c r="Q560" s="269"/>
      <c r="R560" s="269"/>
      <c r="S560" s="269"/>
      <c r="T560" s="269"/>
      <c r="U560" s="269"/>
      <c r="V560" s="269"/>
      <c r="W560" s="269"/>
      <c r="X560" s="269"/>
      <c r="Y560" s="269"/>
      <c r="Z560" s="269"/>
      <c r="AA560" s="269"/>
      <c r="AB560" s="269"/>
      <c r="AC560" s="269"/>
      <c r="AD560" s="269"/>
      <c r="AE560" s="269"/>
      <c r="AF560" s="269"/>
      <c r="AG560" s="269"/>
      <c r="AH560" s="269"/>
      <c r="AI560" s="269"/>
      <c r="AJ560" s="269"/>
      <c r="AK560" s="269"/>
      <c r="AL560" s="269"/>
      <c r="AM560" s="269"/>
      <c r="AN560" s="269"/>
      <c r="AO560" s="269"/>
      <c r="AP560" s="269"/>
      <c r="AQ560" s="269"/>
      <c r="AR560" s="269"/>
    </row>
    <row r="561" spans="1:44">
      <c r="A561" s="269"/>
      <c r="B561" s="269"/>
      <c r="C561" s="269"/>
      <c r="D561" s="269"/>
      <c r="E561" s="269"/>
      <c r="F561" s="269"/>
      <c r="G561" s="269"/>
      <c r="H561" s="269"/>
      <c r="I561" s="269"/>
      <c r="J561" s="269"/>
      <c r="K561" s="269"/>
      <c r="L561" s="269"/>
      <c r="M561" s="269"/>
      <c r="N561" s="269"/>
      <c r="O561" s="269"/>
      <c r="P561" s="269"/>
      <c r="Q561" s="269"/>
      <c r="R561" s="269"/>
      <c r="S561" s="269"/>
      <c r="T561" s="269"/>
      <c r="U561" s="269"/>
      <c r="V561" s="269"/>
      <c r="W561" s="269"/>
      <c r="X561" s="269"/>
      <c r="Y561" s="269"/>
      <c r="Z561" s="269"/>
      <c r="AA561" s="269"/>
      <c r="AB561" s="269"/>
      <c r="AC561" s="269"/>
      <c r="AD561" s="269"/>
      <c r="AE561" s="269"/>
      <c r="AF561" s="269"/>
      <c r="AG561" s="269"/>
      <c r="AH561" s="269"/>
      <c r="AI561" s="269"/>
      <c r="AJ561" s="269"/>
      <c r="AK561" s="269"/>
      <c r="AL561" s="269"/>
      <c r="AM561" s="269"/>
      <c r="AN561" s="269"/>
      <c r="AO561" s="269"/>
      <c r="AP561" s="269"/>
      <c r="AQ561" s="269"/>
      <c r="AR561" s="269"/>
    </row>
    <row r="562" spans="1:44">
      <c r="A562" s="269"/>
      <c r="B562" s="269"/>
      <c r="C562" s="269"/>
      <c r="D562" s="269"/>
      <c r="E562" s="269"/>
      <c r="F562" s="269"/>
      <c r="G562" s="269"/>
      <c r="H562" s="269"/>
      <c r="I562" s="269"/>
      <c r="J562" s="269"/>
      <c r="K562" s="269"/>
      <c r="L562" s="269"/>
      <c r="M562" s="269"/>
      <c r="N562" s="269"/>
      <c r="O562" s="269"/>
      <c r="P562" s="269"/>
      <c r="Q562" s="269"/>
      <c r="R562" s="269"/>
      <c r="S562" s="269"/>
      <c r="T562" s="269"/>
      <c r="U562" s="269"/>
      <c r="V562" s="269"/>
      <c r="W562" s="269"/>
      <c r="X562" s="269"/>
      <c r="Y562" s="269"/>
      <c r="Z562" s="269"/>
      <c r="AA562" s="269"/>
      <c r="AB562" s="269"/>
      <c r="AC562" s="269"/>
      <c r="AD562" s="269"/>
      <c r="AE562" s="269"/>
      <c r="AF562" s="269"/>
      <c r="AG562" s="269"/>
      <c r="AH562" s="269"/>
      <c r="AI562" s="269"/>
      <c r="AJ562" s="269"/>
      <c r="AK562" s="269"/>
      <c r="AL562" s="269"/>
      <c r="AM562" s="269"/>
      <c r="AN562" s="269"/>
      <c r="AO562" s="269"/>
      <c r="AP562" s="269"/>
      <c r="AQ562" s="269"/>
      <c r="AR562" s="269"/>
    </row>
    <row r="563" spans="1:44">
      <c r="A563" s="269"/>
      <c r="B563" s="269"/>
      <c r="C563" s="269"/>
      <c r="D563" s="269"/>
      <c r="E563" s="269"/>
      <c r="F563" s="269"/>
      <c r="G563" s="269"/>
      <c r="H563" s="269"/>
      <c r="I563" s="269"/>
      <c r="J563" s="269"/>
      <c r="K563" s="269"/>
      <c r="L563" s="269"/>
      <c r="M563" s="269"/>
      <c r="N563" s="269"/>
      <c r="O563" s="269"/>
      <c r="P563" s="269"/>
      <c r="Q563" s="269"/>
      <c r="R563" s="269"/>
      <c r="S563" s="269"/>
      <c r="T563" s="269"/>
      <c r="U563" s="269"/>
      <c r="V563" s="269"/>
      <c r="W563" s="269"/>
      <c r="X563" s="269"/>
      <c r="Y563" s="269"/>
      <c r="Z563" s="269"/>
      <c r="AA563" s="269"/>
      <c r="AB563" s="269"/>
      <c r="AC563" s="269"/>
      <c r="AD563" s="269"/>
      <c r="AE563" s="269"/>
      <c r="AF563" s="269"/>
      <c r="AG563" s="269"/>
      <c r="AH563" s="269"/>
      <c r="AI563" s="269"/>
      <c r="AJ563" s="269"/>
      <c r="AK563" s="269"/>
      <c r="AL563" s="269"/>
      <c r="AM563" s="269"/>
      <c r="AN563" s="269"/>
      <c r="AO563" s="269"/>
      <c r="AP563" s="269"/>
      <c r="AQ563" s="269"/>
      <c r="AR563" s="269"/>
    </row>
    <row r="564" spans="1:44">
      <c r="A564" s="269"/>
      <c r="B564" s="269"/>
      <c r="C564" s="269"/>
      <c r="D564" s="269"/>
      <c r="E564" s="269"/>
      <c r="F564" s="269"/>
      <c r="G564" s="269"/>
      <c r="H564" s="269"/>
      <c r="I564" s="269"/>
      <c r="J564" s="269"/>
      <c r="K564" s="269"/>
      <c r="L564" s="269"/>
      <c r="M564" s="269"/>
      <c r="N564" s="269"/>
      <c r="O564" s="269"/>
      <c r="P564" s="269"/>
      <c r="Q564" s="269"/>
      <c r="R564" s="269"/>
      <c r="S564" s="269"/>
      <c r="T564" s="269"/>
      <c r="U564" s="269"/>
      <c r="V564" s="269"/>
      <c r="W564" s="269"/>
      <c r="X564" s="269"/>
      <c r="Y564" s="269"/>
      <c r="Z564" s="269"/>
      <c r="AA564" s="269"/>
      <c r="AB564" s="269"/>
      <c r="AC564" s="269"/>
      <c r="AD564" s="269"/>
      <c r="AE564" s="269"/>
      <c r="AF564" s="269"/>
      <c r="AG564" s="269"/>
      <c r="AH564" s="269"/>
      <c r="AI564" s="269"/>
      <c r="AJ564" s="269"/>
      <c r="AK564" s="269"/>
      <c r="AL564" s="269"/>
      <c r="AM564" s="269"/>
      <c r="AN564" s="269"/>
      <c r="AO564" s="269"/>
      <c r="AP564" s="269"/>
      <c r="AQ564" s="269"/>
      <c r="AR564" s="269"/>
    </row>
    <row r="565" spans="1:44">
      <c r="A565" s="269"/>
      <c r="B565" s="269"/>
      <c r="C565" s="269"/>
      <c r="D565" s="269"/>
      <c r="E565" s="269"/>
      <c r="F565" s="269"/>
      <c r="G565" s="269"/>
      <c r="H565" s="269"/>
      <c r="I565" s="269"/>
      <c r="J565" s="269"/>
      <c r="K565" s="269"/>
      <c r="L565" s="269"/>
      <c r="M565" s="269"/>
      <c r="N565" s="269"/>
      <c r="O565" s="269"/>
      <c r="P565" s="269"/>
      <c r="Q565" s="269"/>
      <c r="R565" s="269"/>
      <c r="S565" s="269"/>
      <c r="T565" s="269"/>
      <c r="U565" s="269"/>
      <c r="V565" s="269"/>
      <c r="W565" s="269"/>
      <c r="X565" s="269"/>
      <c r="Y565" s="269"/>
      <c r="Z565" s="269"/>
      <c r="AA565" s="269"/>
      <c r="AB565" s="269"/>
      <c r="AC565" s="269"/>
      <c r="AD565" s="269"/>
      <c r="AE565" s="269"/>
      <c r="AF565" s="269"/>
      <c r="AG565" s="269"/>
      <c r="AH565" s="269"/>
      <c r="AI565" s="269"/>
      <c r="AJ565" s="269"/>
      <c r="AK565" s="269"/>
      <c r="AL565" s="269"/>
      <c r="AM565" s="269"/>
      <c r="AN565" s="269"/>
      <c r="AO565" s="269"/>
      <c r="AP565" s="269"/>
      <c r="AQ565" s="269"/>
      <c r="AR565" s="269"/>
    </row>
    <row r="566" spans="1:44">
      <c r="A566" s="269"/>
      <c r="B566" s="269"/>
      <c r="C566" s="269"/>
      <c r="D566" s="269"/>
      <c r="E566" s="269"/>
      <c r="F566" s="269"/>
      <c r="G566" s="269"/>
      <c r="H566" s="269"/>
      <c r="I566" s="269"/>
      <c r="J566" s="269"/>
      <c r="K566" s="269"/>
      <c r="L566" s="269"/>
      <c r="M566" s="269"/>
      <c r="N566" s="269"/>
      <c r="O566" s="269"/>
      <c r="P566" s="269"/>
      <c r="Q566" s="269"/>
      <c r="R566" s="269"/>
      <c r="S566" s="269"/>
      <c r="T566" s="269"/>
      <c r="U566" s="269"/>
      <c r="V566" s="269"/>
      <c r="W566" s="269"/>
      <c r="X566" s="269"/>
      <c r="Y566" s="269"/>
      <c r="Z566" s="269"/>
      <c r="AA566" s="269"/>
      <c r="AB566" s="269"/>
      <c r="AC566" s="269"/>
      <c r="AD566" s="269"/>
      <c r="AE566" s="269"/>
      <c r="AF566" s="269"/>
      <c r="AG566" s="269"/>
      <c r="AH566" s="269"/>
      <c r="AI566" s="269"/>
      <c r="AJ566" s="269"/>
      <c r="AK566" s="269"/>
      <c r="AL566" s="269"/>
      <c r="AM566" s="269"/>
      <c r="AN566" s="269"/>
      <c r="AO566" s="269"/>
      <c r="AP566" s="269"/>
      <c r="AQ566" s="269"/>
      <c r="AR566" s="269"/>
    </row>
    <row r="567" spans="1:44">
      <c r="A567" s="269"/>
      <c r="B567" s="269"/>
      <c r="C567" s="269"/>
      <c r="D567" s="269"/>
      <c r="E567" s="269"/>
      <c r="F567" s="269"/>
      <c r="G567" s="269"/>
      <c r="H567" s="269"/>
      <c r="I567" s="269"/>
      <c r="J567" s="269"/>
      <c r="K567" s="269"/>
      <c r="L567" s="269"/>
      <c r="M567" s="269"/>
      <c r="N567" s="269"/>
      <c r="O567" s="269"/>
      <c r="P567" s="269"/>
      <c r="Q567" s="269"/>
      <c r="R567" s="269"/>
      <c r="S567" s="269"/>
      <c r="T567" s="269"/>
      <c r="U567" s="269"/>
      <c r="V567" s="269"/>
      <c r="W567" s="269"/>
      <c r="X567" s="269"/>
      <c r="Y567" s="269"/>
      <c r="Z567" s="269"/>
      <c r="AA567" s="269"/>
      <c r="AB567" s="269"/>
      <c r="AC567" s="269"/>
      <c r="AD567" s="269"/>
      <c r="AE567" s="269"/>
      <c r="AF567" s="269"/>
      <c r="AG567" s="269"/>
      <c r="AH567" s="269"/>
      <c r="AI567" s="269"/>
      <c r="AJ567" s="269"/>
      <c r="AK567" s="269"/>
      <c r="AL567" s="269"/>
      <c r="AM567" s="269"/>
      <c r="AN567" s="269"/>
      <c r="AO567" s="269"/>
      <c r="AP567" s="269"/>
      <c r="AQ567" s="269"/>
      <c r="AR567" s="269"/>
    </row>
    <row r="568" spans="1:44">
      <c r="A568" s="269"/>
      <c r="B568" s="269"/>
      <c r="C568" s="269"/>
      <c r="D568" s="269"/>
      <c r="E568" s="269"/>
      <c r="F568" s="269"/>
      <c r="G568" s="269"/>
      <c r="H568" s="269"/>
      <c r="I568" s="269"/>
      <c r="J568" s="269"/>
      <c r="K568" s="269"/>
      <c r="L568" s="269"/>
      <c r="M568" s="269"/>
      <c r="N568" s="269"/>
      <c r="O568" s="269"/>
      <c r="P568" s="269"/>
      <c r="Q568" s="269"/>
      <c r="R568" s="269"/>
      <c r="S568" s="269"/>
      <c r="T568" s="269"/>
      <c r="U568" s="269"/>
      <c r="V568" s="269"/>
      <c r="W568" s="269"/>
      <c r="X568" s="269"/>
      <c r="Y568" s="269"/>
      <c r="Z568" s="269"/>
      <c r="AA568" s="269"/>
      <c r="AB568" s="269"/>
      <c r="AC568" s="269"/>
      <c r="AD568" s="269"/>
      <c r="AE568" s="269"/>
      <c r="AF568" s="269"/>
      <c r="AG568" s="269"/>
      <c r="AH568" s="269"/>
      <c r="AI568" s="269"/>
      <c r="AJ568" s="269"/>
      <c r="AK568" s="269"/>
      <c r="AL568" s="269"/>
      <c r="AM568" s="269"/>
      <c r="AN568" s="269"/>
      <c r="AO568" s="269"/>
      <c r="AP568" s="269"/>
      <c r="AQ568" s="269"/>
      <c r="AR568" s="269"/>
    </row>
    <row r="569" spans="1:44">
      <c r="A569" s="269"/>
      <c r="B569" s="269"/>
      <c r="C569" s="269"/>
      <c r="D569" s="269"/>
      <c r="E569" s="269"/>
      <c r="F569" s="269"/>
      <c r="G569" s="269"/>
      <c r="H569" s="269"/>
      <c r="I569" s="269"/>
      <c r="J569" s="269"/>
      <c r="K569" s="269"/>
      <c r="L569" s="269"/>
      <c r="M569" s="269"/>
      <c r="N569" s="269"/>
      <c r="O569" s="269"/>
      <c r="P569" s="269"/>
      <c r="Q569" s="269"/>
      <c r="R569" s="269"/>
      <c r="S569" s="269"/>
      <c r="T569" s="269"/>
      <c r="U569" s="269"/>
      <c r="V569" s="269"/>
      <c r="W569" s="269"/>
      <c r="X569" s="269"/>
      <c r="Y569" s="269"/>
      <c r="Z569" s="269"/>
      <c r="AA569" s="269"/>
      <c r="AB569" s="269"/>
      <c r="AC569" s="269"/>
      <c r="AD569" s="269"/>
      <c r="AE569" s="269"/>
      <c r="AF569" s="269"/>
      <c r="AG569" s="269"/>
      <c r="AH569" s="269"/>
      <c r="AI569" s="269"/>
      <c r="AJ569" s="269"/>
      <c r="AK569" s="269"/>
      <c r="AL569" s="269"/>
      <c r="AM569" s="269"/>
      <c r="AN569" s="269"/>
      <c r="AO569" s="269"/>
      <c r="AP569" s="269"/>
      <c r="AQ569" s="269"/>
      <c r="AR569" s="269"/>
    </row>
    <row r="570" spans="1:44">
      <c r="A570" s="269"/>
      <c r="B570" s="269"/>
      <c r="C570" s="269"/>
      <c r="D570" s="269"/>
      <c r="E570" s="269"/>
      <c r="F570" s="269"/>
      <c r="G570" s="269"/>
      <c r="H570" s="269"/>
      <c r="I570" s="269"/>
      <c r="J570" s="269"/>
      <c r="K570" s="269"/>
      <c r="L570" s="269"/>
      <c r="M570" s="269"/>
      <c r="N570" s="269"/>
      <c r="O570" s="269"/>
      <c r="P570" s="269"/>
      <c r="Q570" s="269"/>
      <c r="R570" s="269"/>
      <c r="S570" s="269"/>
      <c r="T570" s="269"/>
      <c r="U570" s="269"/>
      <c r="V570" s="269"/>
      <c r="W570" s="269"/>
      <c r="X570" s="269"/>
      <c r="Y570" s="269"/>
      <c r="Z570" s="269"/>
      <c r="AA570" s="269"/>
      <c r="AB570" s="269"/>
      <c r="AC570" s="269"/>
      <c r="AD570" s="269"/>
      <c r="AE570" s="269"/>
      <c r="AF570" s="269"/>
      <c r="AG570" s="269"/>
      <c r="AH570" s="269"/>
      <c r="AI570" s="269"/>
      <c r="AJ570" s="269"/>
      <c r="AK570" s="269"/>
      <c r="AL570" s="269"/>
      <c r="AM570" s="269"/>
      <c r="AN570" s="269"/>
      <c r="AO570" s="269"/>
      <c r="AP570" s="269"/>
      <c r="AQ570" s="269"/>
      <c r="AR570" s="269"/>
    </row>
    <row r="571" spans="1:44">
      <c r="A571" s="269"/>
      <c r="B571" s="269"/>
      <c r="C571" s="269"/>
      <c r="D571" s="269"/>
      <c r="E571" s="269"/>
      <c r="F571" s="269"/>
      <c r="G571" s="269"/>
      <c r="H571" s="269"/>
      <c r="I571" s="269"/>
      <c r="J571" s="269"/>
      <c r="K571" s="269"/>
      <c r="L571" s="269"/>
      <c r="M571" s="269"/>
      <c r="N571" s="269"/>
      <c r="O571" s="269"/>
      <c r="P571" s="269"/>
      <c r="Q571" s="269"/>
      <c r="R571" s="269"/>
      <c r="S571" s="269"/>
      <c r="T571" s="269"/>
      <c r="U571" s="269"/>
      <c r="V571" s="269"/>
      <c r="W571" s="269"/>
      <c r="X571" s="269"/>
      <c r="Y571" s="269"/>
      <c r="Z571" s="269"/>
      <c r="AA571" s="269"/>
      <c r="AB571" s="269"/>
      <c r="AC571" s="269"/>
      <c r="AD571" s="269"/>
      <c r="AE571" s="269"/>
      <c r="AF571" s="269"/>
      <c r="AG571" s="269"/>
      <c r="AH571" s="269"/>
      <c r="AI571" s="269"/>
      <c r="AJ571" s="269"/>
      <c r="AK571" s="269"/>
      <c r="AL571" s="269"/>
      <c r="AM571" s="269"/>
      <c r="AN571" s="269"/>
      <c r="AO571" s="269"/>
      <c r="AP571" s="269"/>
      <c r="AQ571" s="269"/>
      <c r="AR571" s="269"/>
    </row>
    <row r="572" spans="1:44">
      <c r="A572" s="269"/>
      <c r="B572" s="269"/>
      <c r="C572" s="269"/>
      <c r="D572" s="269"/>
      <c r="E572" s="269"/>
      <c r="F572" s="269"/>
      <c r="G572" s="269"/>
      <c r="H572" s="269"/>
      <c r="I572" s="269"/>
      <c r="J572" s="269"/>
      <c r="K572" s="269"/>
      <c r="L572" s="269"/>
      <c r="M572" s="269"/>
      <c r="N572" s="269"/>
      <c r="O572" s="269"/>
      <c r="P572" s="269"/>
      <c r="Q572" s="269"/>
      <c r="R572" s="269"/>
      <c r="S572" s="269"/>
      <c r="T572" s="269"/>
      <c r="U572" s="269"/>
      <c r="V572" s="269"/>
      <c r="W572" s="269"/>
      <c r="X572" s="269"/>
      <c r="Y572" s="269"/>
      <c r="Z572" s="269"/>
      <c r="AA572" s="269"/>
      <c r="AB572" s="269"/>
      <c r="AC572" s="269"/>
      <c r="AD572" s="269"/>
      <c r="AE572" s="269"/>
      <c r="AF572" s="269"/>
      <c r="AG572" s="269"/>
      <c r="AH572" s="269"/>
      <c r="AI572" s="269"/>
      <c r="AJ572" s="269"/>
      <c r="AK572" s="269"/>
      <c r="AL572" s="269"/>
      <c r="AM572" s="269"/>
      <c r="AN572" s="269"/>
      <c r="AO572" s="269"/>
      <c r="AP572" s="269"/>
      <c r="AQ572" s="269"/>
      <c r="AR572" s="269"/>
    </row>
    <row r="573" spans="1:44">
      <c r="A573" s="269"/>
      <c r="B573" s="269"/>
      <c r="C573" s="269"/>
      <c r="D573" s="269"/>
      <c r="E573" s="269"/>
      <c r="F573" s="269"/>
      <c r="G573" s="269"/>
      <c r="H573" s="269"/>
      <c r="I573" s="269"/>
      <c r="J573" s="269"/>
      <c r="K573" s="269"/>
      <c r="L573" s="269"/>
      <c r="M573" s="269"/>
      <c r="N573" s="269"/>
      <c r="O573" s="269"/>
      <c r="P573" s="269"/>
      <c r="Q573" s="269"/>
      <c r="R573" s="269"/>
      <c r="S573" s="269"/>
      <c r="T573" s="269"/>
      <c r="U573" s="269"/>
      <c r="V573" s="269"/>
      <c r="W573" s="269"/>
      <c r="X573" s="269"/>
      <c r="Y573" s="269"/>
      <c r="Z573" s="269"/>
      <c r="AA573" s="269"/>
      <c r="AB573" s="269"/>
      <c r="AC573" s="269"/>
      <c r="AD573" s="269"/>
      <c r="AE573" s="269"/>
      <c r="AF573" s="269"/>
      <c r="AG573" s="269"/>
      <c r="AH573" s="269"/>
      <c r="AI573" s="269"/>
      <c r="AJ573" s="269"/>
      <c r="AK573" s="269"/>
      <c r="AL573" s="269"/>
      <c r="AM573" s="269"/>
      <c r="AN573" s="269"/>
      <c r="AO573" s="269"/>
      <c r="AP573" s="269"/>
      <c r="AQ573" s="269"/>
      <c r="AR573" s="269"/>
    </row>
    <row r="574" spans="1:44">
      <c r="A574" s="269"/>
      <c r="B574" s="269"/>
      <c r="C574" s="269"/>
      <c r="D574" s="269"/>
      <c r="E574" s="269"/>
      <c r="F574" s="269"/>
      <c r="G574" s="269"/>
      <c r="H574" s="269"/>
      <c r="I574" s="269"/>
      <c r="J574" s="269"/>
      <c r="K574" s="269"/>
      <c r="L574" s="269"/>
      <c r="M574" s="269"/>
      <c r="N574" s="269"/>
      <c r="O574" s="269"/>
      <c r="P574" s="269"/>
      <c r="Q574" s="269"/>
      <c r="R574" s="269"/>
      <c r="S574" s="269"/>
      <c r="T574" s="269"/>
      <c r="U574" s="269"/>
      <c r="V574" s="269"/>
      <c r="W574" s="269"/>
      <c r="X574" s="269"/>
      <c r="Y574" s="269"/>
      <c r="Z574" s="269"/>
      <c r="AA574" s="269"/>
      <c r="AB574" s="269"/>
      <c r="AC574" s="269"/>
      <c r="AD574" s="269"/>
      <c r="AE574" s="269"/>
      <c r="AF574" s="269"/>
      <c r="AG574" s="269"/>
      <c r="AH574" s="269"/>
      <c r="AI574" s="269"/>
      <c r="AJ574" s="269"/>
      <c r="AK574" s="269"/>
      <c r="AL574" s="269"/>
      <c r="AM574" s="269"/>
      <c r="AN574" s="269"/>
      <c r="AO574" s="269"/>
      <c r="AP574" s="269"/>
      <c r="AQ574" s="269"/>
      <c r="AR574" s="269"/>
    </row>
    <row r="575" spans="1:44">
      <c r="A575" s="269"/>
      <c r="B575" s="269"/>
      <c r="C575" s="269"/>
      <c r="D575" s="269"/>
      <c r="E575" s="269"/>
      <c r="F575" s="269"/>
      <c r="G575" s="269"/>
      <c r="H575" s="269"/>
      <c r="I575" s="269"/>
      <c r="J575" s="269"/>
      <c r="K575" s="269"/>
      <c r="L575" s="269"/>
      <c r="M575" s="269"/>
      <c r="N575" s="269"/>
      <c r="O575" s="269"/>
      <c r="P575" s="269"/>
      <c r="Q575" s="269"/>
      <c r="R575" s="269"/>
      <c r="S575" s="269"/>
      <c r="T575" s="269"/>
      <c r="U575" s="269"/>
      <c r="V575" s="269"/>
      <c r="W575" s="269"/>
      <c r="X575" s="269"/>
      <c r="Y575" s="269"/>
      <c r="Z575" s="269"/>
      <c r="AA575" s="269"/>
      <c r="AB575" s="269"/>
      <c r="AC575" s="269"/>
      <c r="AD575" s="269"/>
      <c r="AE575" s="269"/>
      <c r="AF575" s="269"/>
      <c r="AG575" s="269"/>
      <c r="AH575" s="269"/>
      <c r="AI575" s="269"/>
      <c r="AJ575" s="269"/>
      <c r="AK575" s="269"/>
      <c r="AL575" s="269"/>
      <c r="AM575" s="269"/>
      <c r="AN575" s="269"/>
      <c r="AO575" s="269"/>
      <c r="AP575" s="269"/>
      <c r="AQ575" s="269"/>
      <c r="AR575" s="269"/>
    </row>
    <row r="576" spans="1:44">
      <c r="A576" s="269"/>
      <c r="B576" s="269"/>
      <c r="C576" s="269"/>
      <c r="D576" s="269"/>
      <c r="E576" s="269"/>
      <c r="F576" s="269"/>
      <c r="G576" s="269"/>
      <c r="H576" s="269"/>
      <c r="I576" s="269"/>
      <c r="J576" s="269"/>
      <c r="K576" s="269"/>
      <c r="L576" s="269"/>
      <c r="M576" s="269"/>
      <c r="N576" s="269"/>
      <c r="O576" s="269"/>
      <c r="P576" s="269"/>
      <c r="Q576" s="269"/>
      <c r="R576" s="269"/>
      <c r="S576" s="269"/>
      <c r="T576" s="269"/>
      <c r="U576" s="269"/>
      <c r="V576" s="269"/>
      <c r="W576" s="269"/>
      <c r="X576" s="269"/>
      <c r="Y576" s="269"/>
      <c r="Z576" s="269"/>
      <c r="AA576" s="269"/>
      <c r="AB576" s="269"/>
      <c r="AC576" s="269"/>
      <c r="AD576" s="269"/>
      <c r="AE576" s="269"/>
      <c r="AF576" s="269"/>
      <c r="AG576" s="269"/>
      <c r="AH576" s="269"/>
      <c r="AI576" s="269"/>
      <c r="AJ576" s="269"/>
      <c r="AK576" s="269"/>
      <c r="AL576" s="269"/>
      <c r="AM576" s="269"/>
      <c r="AN576" s="269"/>
      <c r="AO576" s="269"/>
      <c r="AP576" s="269"/>
      <c r="AQ576" s="269"/>
      <c r="AR576" s="269"/>
    </row>
    <row r="577" spans="1:44">
      <c r="A577" s="269"/>
      <c r="B577" s="269"/>
      <c r="C577" s="269"/>
      <c r="D577" s="269"/>
      <c r="E577" s="269"/>
      <c r="F577" s="269"/>
      <c r="G577" s="269"/>
      <c r="H577" s="269"/>
      <c r="I577" s="269"/>
      <c r="J577" s="269"/>
      <c r="K577" s="269"/>
      <c r="L577" s="269"/>
      <c r="M577" s="269"/>
      <c r="N577" s="269"/>
      <c r="O577" s="269"/>
      <c r="P577" s="269"/>
      <c r="Q577" s="269"/>
      <c r="R577" s="269"/>
      <c r="S577" s="269"/>
      <c r="T577" s="269"/>
      <c r="U577" s="269"/>
      <c r="V577" s="269"/>
      <c r="W577" s="269"/>
      <c r="X577" s="269"/>
      <c r="Y577" s="269"/>
      <c r="Z577" s="269"/>
      <c r="AA577" s="269"/>
      <c r="AB577" s="269"/>
      <c r="AC577" s="269"/>
      <c r="AD577" s="269"/>
      <c r="AE577" s="269"/>
      <c r="AF577" s="269"/>
      <c r="AG577" s="269"/>
      <c r="AH577" s="269"/>
      <c r="AI577" s="269"/>
      <c r="AJ577" s="269"/>
      <c r="AK577" s="269"/>
      <c r="AL577" s="269"/>
      <c r="AM577" s="269"/>
      <c r="AN577" s="269"/>
      <c r="AO577" s="269"/>
      <c r="AP577" s="269"/>
      <c r="AQ577" s="269"/>
      <c r="AR577" s="269"/>
    </row>
    <row r="578" spans="1:44">
      <c r="A578" s="269"/>
      <c r="B578" s="269"/>
      <c r="C578" s="269"/>
      <c r="D578" s="269"/>
      <c r="E578" s="269"/>
      <c r="F578" s="269"/>
      <c r="G578" s="269"/>
      <c r="H578" s="269"/>
      <c r="I578" s="269"/>
      <c r="J578" s="269"/>
      <c r="K578" s="269"/>
      <c r="L578" s="269"/>
      <c r="M578" s="269"/>
      <c r="N578" s="269"/>
      <c r="O578" s="269"/>
      <c r="P578" s="269"/>
      <c r="Q578" s="269"/>
      <c r="R578" s="269"/>
      <c r="S578" s="269"/>
      <c r="T578" s="269"/>
      <c r="U578" s="269"/>
      <c r="V578" s="269"/>
      <c r="W578" s="269"/>
      <c r="X578" s="269"/>
      <c r="Y578" s="269"/>
      <c r="Z578" s="269"/>
      <c r="AA578" s="269"/>
      <c r="AB578" s="269"/>
      <c r="AC578" s="269"/>
      <c r="AD578" s="269"/>
      <c r="AE578" s="269"/>
      <c r="AF578" s="269"/>
      <c r="AG578" s="269"/>
      <c r="AH578" s="269"/>
      <c r="AI578" s="269"/>
      <c r="AJ578" s="269"/>
      <c r="AK578" s="269"/>
      <c r="AL578" s="269"/>
      <c r="AM578" s="269"/>
      <c r="AN578" s="269"/>
      <c r="AO578" s="269"/>
      <c r="AP578" s="269"/>
      <c r="AQ578" s="269"/>
      <c r="AR578" s="269"/>
    </row>
    <row r="579" spans="1:44">
      <c r="A579" s="269"/>
      <c r="B579" s="269"/>
      <c r="C579" s="269"/>
      <c r="D579" s="269"/>
      <c r="E579" s="269"/>
      <c r="F579" s="269"/>
      <c r="G579" s="269"/>
      <c r="H579" s="269"/>
      <c r="I579" s="269"/>
      <c r="J579" s="269"/>
      <c r="K579" s="269"/>
      <c r="L579" s="269"/>
      <c r="M579" s="269"/>
      <c r="N579" s="269"/>
      <c r="O579" s="269"/>
      <c r="P579" s="269"/>
      <c r="Q579" s="269"/>
      <c r="R579" s="269"/>
      <c r="S579" s="269"/>
      <c r="T579" s="269"/>
      <c r="U579" s="269"/>
      <c r="V579" s="269"/>
      <c r="W579" s="269"/>
      <c r="X579" s="269"/>
      <c r="Y579" s="269"/>
      <c r="Z579" s="269"/>
      <c r="AA579" s="269"/>
      <c r="AB579" s="269"/>
      <c r="AC579" s="269"/>
      <c r="AD579" s="269"/>
      <c r="AE579" s="269"/>
      <c r="AF579" s="269"/>
      <c r="AG579" s="269"/>
      <c r="AH579" s="269"/>
      <c r="AI579" s="269"/>
      <c r="AJ579" s="269"/>
      <c r="AK579" s="269"/>
      <c r="AL579" s="269"/>
      <c r="AM579" s="269"/>
      <c r="AN579" s="269"/>
      <c r="AO579" s="269"/>
      <c r="AP579" s="269"/>
      <c r="AQ579" s="269"/>
      <c r="AR579" s="269"/>
    </row>
    <row r="580" spans="1:44">
      <c r="A580" s="269"/>
      <c r="B580" s="269"/>
      <c r="C580" s="269"/>
      <c r="D580" s="269"/>
      <c r="E580" s="269"/>
      <c r="F580" s="269"/>
      <c r="G580" s="269"/>
      <c r="H580" s="269"/>
      <c r="I580" s="269"/>
      <c r="J580" s="269"/>
      <c r="K580" s="269"/>
      <c r="L580" s="269"/>
      <c r="M580" s="269"/>
      <c r="N580" s="269"/>
      <c r="O580" s="269"/>
      <c r="P580" s="269"/>
      <c r="Q580" s="269"/>
      <c r="R580" s="269"/>
      <c r="S580" s="269"/>
      <c r="T580" s="269"/>
      <c r="U580" s="269"/>
      <c r="V580" s="269"/>
      <c r="W580" s="269"/>
      <c r="X580" s="269"/>
      <c r="Y580" s="269"/>
      <c r="Z580" s="269"/>
      <c r="AA580" s="269"/>
      <c r="AB580" s="269"/>
      <c r="AC580" s="269"/>
      <c r="AD580" s="269"/>
      <c r="AE580" s="269"/>
      <c r="AF580" s="269"/>
      <c r="AG580" s="269"/>
      <c r="AH580" s="269"/>
      <c r="AI580" s="269"/>
      <c r="AJ580" s="269"/>
      <c r="AK580" s="269"/>
      <c r="AL580" s="269"/>
      <c r="AM580" s="269"/>
      <c r="AN580" s="269"/>
      <c r="AO580" s="269"/>
      <c r="AP580" s="269"/>
      <c r="AQ580" s="269"/>
      <c r="AR580" s="269"/>
    </row>
    <row r="581" spans="1:44">
      <c r="A581" s="269"/>
      <c r="B581" s="269"/>
      <c r="C581" s="269"/>
      <c r="D581" s="269"/>
      <c r="E581" s="269"/>
      <c r="F581" s="269"/>
      <c r="G581" s="269"/>
      <c r="H581" s="269"/>
      <c r="I581" s="269"/>
      <c r="J581" s="269"/>
      <c r="K581" s="269"/>
      <c r="L581" s="269"/>
      <c r="M581" s="269"/>
      <c r="N581" s="269"/>
      <c r="O581" s="269"/>
      <c r="P581" s="269"/>
      <c r="Q581" s="269"/>
      <c r="R581" s="269"/>
      <c r="S581" s="269"/>
      <c r="T581" s="269"/>
      <c r="U581" s="269"/>
      <c r="V581" s="269"/>
      <c r="W581" s="269"/>
      <c r="X581" s="269"/>
      <c r="Y581" s="269"/>
      <c r="Z581" s="269"/>
      <c r="AA581" s="269"/>
      <c r="AB581" s="269"/>
      <c r="AC581" s="269"/>
      <c r="AD581" s="269"/>
      <c r="AE581" s="269"/>
      <c r="AF581" s="269"/>
      <c r="AG581" s="269"/>
      <c r="AH581" s="269"/>
      <c r="AI581" s="269"/>
      <c r="AJ581" s="269"/>
      <c r="AK581" s="269"/>
      <c r="AL581" s="269"/>
      <c r="AM581" s="269"/>
      <c r="AN581" s="269"/>
      <c r="AO581" s="269"/>
      <c r="AP581" s="269"/>
      <c r="AQ581" s="269"/>
      <c r="AR581" s="269"/>
    </row>
    <row r="582" spans="1:44">
      <c r="A582" s="269"/>
      <c r="B582" s="269"/>
      <c r="C582" s="269"/>
      <c r="D582" s="269"/>
      <c r="E582" s="269"/>
      <c r="F582" s="269"/>
      <c r="G582" s="269"/>
      <c r="H582" s="269"/>
      <c r="I582" s="269"/>
      <c r="J582" s="269"/>
      <c r="K582" s="269"/>
      <c r="L582" s="269"/>
      <c r="M582" s="269"/>
      <c r="N582" s="269"/>
      <c r="O582" s="269"/>
      <c r="P582" s="269"/>
      <c r="Q582" s="269"/>
      <c r="R582" s="269"/>
      <c r="S582" s="269"/>
      <c r="T582" s="269"/>
      <c r="U582" s="269"/>
      <c r="V582" s="269"/>
      <c r="W582" s="269"/>
      <c r="X582" s="269"/>
      <c r="Y582" s="269"/>
      <c r="Z582" s="269"/>
      <c r="AA582" s="269"/>
      <c r="AB582" s="269"/>
      <c r="AC582" s="269"/>
      <c r="AD582" s="269"/>
      <c r="AE582" s="269"/>
      <c r="AF582" s="269"/>
      <c r="AG582" s="269"/>
      <c r="AH582" s="269"/>
      <c r="AI582" s="269"/>
      <c r="AJ582" s="269"/>
      <c r="AK582" s="269"/>
      <c r="AL582" s="269"/>
      <c r="AM582" s="269"/>
      <c r="AN582" s="269"/>
      <c r="AO582" s="269"/>
      <c r="AP582" s="269"/>
      <c r="AQ582" s="269"/>
      <c r="AR582" s="269"/>
    </row>
    <row r="583" spans="1:44">
      <c r="A583" s="269"/>
      <c r="B583" s="269"/>
      <c r="C583" s="269"/>
      <c r="D583" s="269"/>
      <c r="E583" s="269"/>
      <c r="F583" s="269"/>
      <c r="G583" s="269"/>
      <c r="H583" s="269"/>
      <c r="I583" s="269"/>
      <c r="J583" s="269"/>
      <c r="K583" s="269"/>
      <c r="L583" s="269"/>
      <c r="M583" s="269"/>
      <c r="N583" s="269"/>
      <c r="O583" s="269"/>
      <c r="P583" s="269"/>
      <c r="Q583" s="269"/>
      <c r="R583" s="269"/>
      <c r="S583" s="269"/>
      <c r="T583" s="269"/>
      <c r="U583" s="269"/>
      <c r="V583" s="269"/>
      <c r="W583" s="269"/>
      <c r="X583" s="269"/>
      <c r="Y583" s="269"/>
      <c r="Z583" s="269"/>
      <c r="AA583" s="269"/>
      <c r="AB583" s="269"/>
      <c r="AC583" s="269"/>
      <c r="AD583" s="269"/>
      <c r="AE583" s="269"/>
      <c r="AF583" s="269"/>
      <c r="AG583" s="269"/>
      <c r="AH583" s="269"/>
      <c r="AI583" s="269"/>
      <c r="AJ583" s="269"/>
      <c r="AK583" s="269"/>
      <c r="AL583" s="269"/>
      <c r="AM583" s="269"/>
      <c r="AN583" s="269"/>
      <c r="AO583" s="269"/>
      <c r="AP583" s="269"/>
      <c r="AQ583" s="269"/>
      <c r="AR583" s="269"/>
    </row>
    <row r="584" spans="1:44">
      <c r="A584" s="269"/>
      <c r="B584" s="269"/>
      <c r="C584" s="269"/>
      <c r="D584" s="269"/>
      <c r="E584" s="269"/>
      <c r="F584" s="269"/>
      <c r="G584" s="269"/>
      <c r="H584" s="269"/>
      <c r="I584" s="269"/>
      <c r="J584" s="269"/>
      <c r="K584" s="269"/>
      <c r="L584" s="269"/>
      <c r="M584" s="269"/>
      <c r="N584" s="269"/>
      <c r="O584" s="269"/>
      <c r="P584" s="269"/>
      <c r="Q584" s="269"/>
      <c r="R584" s="269"/>
      <c r="S584" s="269"/>
      <c r="T584" s="269"/>
      <c r="U584" s="269"/>
      <c r="V584" s="269"/>
      <c r="W584" s="269"/>
      <c r="X584" s="269"/>
      <c r="Y584" s="269"/>
      <c r="Z584" s="269"/>
      <c r="AA584" s="269"/>
      <c r="AB584" s="269"/>
      <c r="AC584" s="269"/>
      <c r="AD584" s="269"/>
      <c r="AE584" s="269"/>
      <c r="AF584" s="269"/>
      <c r="AG584" s="269"/>
      <c r="AH584" s="269"/>
      <c r="AI584" s="269"/>
      <c r="AJ584" s="269"/>
      <c r="AK584" s="269"/>
      <c r="AL584" s="269"/>
      <c r="AM584" s="269"/>
      <c r="AN584" s="269"/>
      <c r="AO584" s="269"/>
      <c r="AP584" s="269"/>
      <c r="AQ584" s="269"/>
      <c r="AR584" s="269"/>
    </row>
    <row r="585" spans="1:44">
      <c r="A585" s="269"/>
      <c r="B585" s="269"/>
      <c r="C585" s="269"/>
      <c r="D585" s="269"/>
      <c r="E585" s="269"/>
      <c r="F585" s="269"/>
      <c r="G585" s="269"/>
      <c r="H585" s="269"/>
      <c r="I585" s="269"/>
      <c r="J585" s="269"/>
      <c r="K585" s="269"/>
      <c r="L585" s="269"/>
      <c r="M585" s="269"/>
      <c r="N585" s="269"/>
      <c r="O585" s="269"/>
      <c r="P585" s="269"/>
      <c r="Q585" s="269"/>
      <c r="R585" s="269"/>
      <c r="S585" s="269"/>
      <c r="T585" s="269"/>
      <c r="U585" s="269"/>
      <c r="V585" s="269"/>
      <c r="W585" s="269"/>
      <c r="X585" s="269"/>
      <c r="Y585" s="269"/>
      <c r="Z585" s="269"/>
      <c r="AA585" s="269"/>
      <c r="AB585" s="269"/>
      <c r="AC585" s="269"/>
      <c r="AD585" s="269"/>
      <c r="AE585" s="269"/>
      <c r="AF585" s="269"/>
      <c r="AG585" s="269"/>
      <c r="AH585" s="269"/>
      <c r="AI585" s="269"/>
      <c r="AJ585" s="269"/>
      <c r="AK585" s="269"/>
      <c r="AL585" s="269"/>
      <c r="AM585" s="269"/>
      <c r="AN585" s="269"/>
      <c r="AO585" s="269"/>
      <c r="AP585" s="269"/>
      <c r="AQ585" s="269"/>
      <c r="AR585" s="269"/>
    </row>
    <row r="586" spans="1:44">
      <c r="A586" s="269"/>
      <c r="B586" s="269"/>
      <c r="C586" s="269"/>
      <c r="D586" s="269"/>
      <c r="E586" s="269"/>
      <c r="F586" s="269"/>
      <c r="G586" s="269"/>
      <c r="H586" s="269"/>
      <c r="I586" s="269"/>
      <c r="J586" s="269"/>
      <c r="K586" s="269"/>
      <c r="L586" s="269"/>
      <c r="M586" s="269"/>
      <c r="N586" s="269"/>
      <c r="O586" s="269"/>
      <c r="P586" s="269"/>
      <c r="Q586" s="269"/>
      <c r="R586" s="269"/>
      <c r="S586" s="269"/>
      <c r="T586" s="269"/>
      <c r="U586" s="269"/>
      <c r="V586" s="269"/>
      <c r="W586" s="269"/>
      <c r="X586" s="269"/>
      <c r="Y586" s="269"/>
      <c r="Z586" s="269"/>
      <c r="AA586" s="269"/>
      <c r="AB586" s="269"/>
      <c r="AC586" s="269"/>
      <c r="AD586" s="269"/>
      <c r="AE586" s="269"/>
      <c r="AF586" s="269"/>
      <c r="AG586" s="269"/>
      <c r="AH586" s="269"/>
      <c r="AI586" s="269"/>
      <c r="AJ586" s="269"/>
      <c r="AK586" s="269"/>
      <c r="AL586" s="269"/>
      <c r="AM586" s="269"/>
      <c r="AN586" s="269"/>
      <c r="AO586" s="269"/>
      <c r="AP586" s="269"/>
      <c r="AQ586" s="269"/>
      <c r="AR586" s="269"/>
    </row>
    <row r="587" spans="1:44">
      <c r="A587" s="269"/>
      <c r="B587" s="269"/>
      <c r="C587" s="269"/>
      <c r="D587" s="269"/>
      <c r="E587" s="269"/>
      <c r="F587" s="269"/>
      <c r="G587" s="269"/>
      <c r="H587" s="269"/>
      <c r="I587" s="269"/>
      <c r="J587" s="269"/>
      <c r="K587" s="269"/>
      <c r="L587" s="269"/>
      <c r="M587" s="269"/>
      <c r="N587" s="269"/>
      <c r="O587" s="269"/>
      <c r="P587" s="269"/>
      <c r="Q587" s="269"/>
      <c r="R587" s="269"/>
      <c r="S587" s="269"/>
      <c r="T587" s="269"/>
      <c r="U587" s="269"/>
      <c r="V587" s="269"/>
      <c r="W587" s="269"/>
      <c r="X587" s="269"/>
      <c r="Y587" s="269"/>
      <c r="Z587" s="269"/>
      <c r="AA587" s="269"/>
      <c r="AB587" s="269"/>
      <c r="AC587" s="269"/>
      <c r="AD587" s="269"/>
      <c r="AE587" s="269"/>
      <c r="AF587" s="269"/>
      <c r="AG587" s="269"/>
      <c r="AH587" s="269"/>
      <c r="AI587" s="269"/>
      <c r="AJ587" s="269"/>
      <c r="AK587" s="269"/>
      <c r="AL587" s="269"/>
      <c r="AM587" s="269"/>
      <c r="AN587" s="269"/>
      <c r="AO587" s="269"/>
      <c r="AP587" s="269"/>
      <c r="AQ587" s="269"/>
      <c r="AR587" s="269"/>
    </row>
    <row r="588" spans="1:44">
      <c r="A588" s="269"/>
      <c r="B588" s="269"/>
      <c r="C588" s="269"/>
      <c r="D588" s="269"/>
      <c r="E588" s="269"/>
      <c r="F588" s="269"/>
      <c r="G588" s="269"/>
      <c r="H588" s="269"/>
      <c r="I588" s="269"/>
      <c r="J588" s="269"/>
      <c r="K588" s="269"/>
      <c r="L588" s="269"/>
      <c r="M588" s="269"/>
      <c r="N588" s="269"/>
      <c r="O588" s="269"/>
      <c r="P588" s="269"/>
      <c r="Q588" s="269"/>
      <c r="R588" s="269"/>
      <c r="S588" s="269"/>
      <c r="T588" s="269"/>
      <c r="U588" s="269"/>
      <c r="V588" s="269"/>
      <c r="W588" s="269"/>
      <c r="X588" s="269"/>
      <c r="Y588" s="269"/>
      <c r="Z588" s="269"/>
      <c r="AA588" s="269"/>
      <c r="AB588" s="269"/>
      <c r="AC588" s="269"/>
      <c r="AD588" s="269"/>
      <c r="AE588" s="269"/>
      <c r="AF588" s="269"/>
      <c r="AG588" s="269"/>
      <c r="AH588" s="269"/>
      <c r="AI588" s="269"/>
      <c r="AJ588" s="269"/>
      <c r="AK588" s="269"/>
      <c r="AL588" s="269"/>
      <c r="AM588" s="269"/>
      <c r="AN588" s="269"/>
      <c r="AO588" s="269"/>
      <c r="AP588" s="269"/>
      <c r="AQ588" s="269"/>
      <c r="AR588" s="269"/>
    </row>
    <row r="589" spans="1:44">
      <c r="A589" s="269"/>
      <c r="B589" s="269"/>
      <c r="C589" s="269"/>
      <c r="D589" s="269"/>
      <c r="E589" s="269"/>
      <c r="F589" s="269"/>
      <c r="G589" s="269"/>
      <c r="H589" s="269"/>
      <c r="I589" s="269"/>
      <c r="J589" s="269"/>
      <c r="K589" s="269"/>
      <c r="L589" s="269"/>
      <c r="M589" s="269"/>
      <c r="N589" s="269"/>
      <c r="O589" s="269"/>
      <c r="P589" s="269"/>
      <c r="Q589" s="269"/>
      <c r="R589" s="269"/>
      <c r="S589" s="269"/>
      <c r="T589" s="269"/>
      <c r="U589" s="269"/>
      <c r="V589" s="269"/>
      <c r="W589" s="269"/>
      <c r="X589" s="269"/>
      <c r="Y589" s="269"/>
      <c r="Z589" s="269"/>
      <c r="AA589" s="269"/>
      <c r="AB589" s="269"/>
      <c r="AC589" s="269"/>
      <c r="AD589" s="269"/>
      <c r="AE589" s="269"/>
      <c r="AF589" s="269"/>
      <c r="AG589" s="269"/>
      <c r="AH589" s="269"/>
      <c r="AI589" s="269"/>
      <c r="AJ589" s="269"/>
      <c r="AK589" s="269"/>
      <c r="AL589" s="269"/>
      <c r="AM589" s="269"/>
      <c r="AN589" s="269"/>
      <c r="AO589" s="269"/>
      <c r="AP589" s="269"/>
      <c r="AQ589" s="269"/>
      <c r="AR589" s="269"/>
    </row>
    <row r="590" spans="1:44">
      <c r="A590" s="269"/>
      <c r="B590" s="269"/>
      <c r="C590" s="269"/>
      <c r="D590" s="269"/>
      <c r="E590" s="269"/>
      <c r="F590" s="269"/>
      <c r="G590" s="269"/>
      <c r="H590" s="269"/>
      <c r="I590" s="269"/>
      <c r="J590" s="269"/>
      <c r="K590" s="269"/>
      <c r="L590" s="269"/>
      <c r="M590" s="269"/>
      <c r="N590" s="269"/>
      <c r="O590" s="269"/>
      <c r="P590" s="269"/>
      <c r="Q590" s="269"/>
      <c r="R590" s="269"/>
      <c r="S590" s="269"/>
      <c r="T590" s="269"/>
      <c r="U590" s="269"/>
      <c r="V590" s="269"/>
      <c r="W590" s="269"/>
      <c r="X590" s="269"/>
      <c r="Y590" s="269"/>
      <c r="Z590" s="269"/>
      <c r="AA590" s="269"/>
      <c r="AB590" s="269"/>
      <c r="AC590" s="269"/>
      <c r="AD590" s="269"/>
      <c r="AE590" s="269"/>
      <c r="AF590" s="269"/>
      <c r="AG590" s="269"/>
      <c r="AH590" s="269"/>
      <c r="AI590" s="269"/>
      <c r="AJ590" s="269"/>
      <c r="AK590" s="269"/>
      <c r="AL590" s="269"/>
      <c r="AM590" s="269"/>
      <c r="AN590" s="269"/>
      <c r="AO590" s="269"/>
      <c r="AP590" s="269"/>
      <c r="AQ590" s="269"/>
      <c r="AR590" s="269"/>
    </row>
    <row r="591" spans="1:44">
      <c r="A591" s="269"/>
      <c r="B591" s="269"/>
      <c r="C591" s="269"/>
      <c r="D591" s="269"/>
      <c r="E591" s="269"/>
      <c r="F591" s="269"/>
      <c r="G591" s="269"/>
      <c r="H591" s="269"/>
      <c r="I591" s="269"/>
      <c r="J591" s="269"/>
      <c r="K591" s="269"/>
      <c r="L591" s="269"/>
      <c r="M591" s="269"/>
      <c r="N591" s="269"/>
      <c r="O591" s="269"/>
      <c r="P591" s="269"/>
      <c r="Q591" s="269"/>
      <c r="R591" s="269"/>
      <c r="S591" s="269"/>
      <c r="T591" s="269"/>
      <c r="U591" s="269"/>
      <c r="V591" s="269"/>
      <c r="W591" s="269"/>
      <c r="X591" s="269"/>
      <c r="Y591" s="269"/>
      <c r="Z591" s="269"/>
      <c r="AA591" s="269"/>
      <c r="AB591" s="269"/>
      <c r="AC591" s="269"/>
      <c r="AD591" s="269"/>
      <c r="AE591" s="269"/>
      <c r="AF591" s="269"/>
      <c r="AG591" s="269"/>
      <c r="AH591" s="269"/>
      <c r="AI591" s="269"/>
      <c r="AJ591" s="269"/>
      <c r="AK591" s="269"/>
      <c r="AL591" s="269"/>
      <c r="AM591" s="269"/>
      <c r="AN591" s="269"/>
      <c r="AO591" s="269"/>
      <c r="AP591" s="269"/>
      <c r="AQ591" s="269"/>
      <c r="AR591" s="269"/>
    </row>
    <row r="592" spans="1:44">
      <c r="A592" s="269"/>
      <c r="B592" s="269"/>
      <c r="C592" s="269"/>
      <c r="D592" s="269"/>
      <c r="E592" s="269"/>
      <c r="F592" s="269"/>
      <c r="G592" s="269"/>
      <c r="H592" s="269"/>
      <c r="I592" s="269"/>
      <c r="J592" s="269"/>
      <c r="K592" s="269"/>
      <c r="L592" s="269"/>
      <c r="M592" s="269"/>
      <c r="N592" s="269"/>
      <c r="O592" s="269"/>
      <c r="P592" s="269"/>
      <c r="Q592" s="269"/>
      <c r="R592" s="269"/>
      <c r="S592" s="269"/>
      <c r="T592" s="269"/>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row>
    <row r="593" spans="1:44">
      <c r="A593" s="269"/>
      <c r="B593" s="269"/>
      <c r="C593" s="269"/>
      <c r="D593" s="269"/>
      <c r="E593" s="269"/>
      <c r="F593" s="269"/>
      <c r="G593" s="269"/>
      <c r="H593" s="269"/>
      <c r="I593" s="269"/>
      <c r="J593" s="269"/>
      <c r="K593" s="269"/>
      <c r="L593" s="269"/>
      <c r="M593" s="269"/>
      <c r="N593" s="269"/>
      <c r="O593" s="269"/>
      <c r="P593" s="269"/>
      <c r="Q593" s="269"/>
      <c r="R593" s="269"/>
      <c r="S593" s="269"/>
      <c r="T593" s="269"/>
      <c r="U593" s="269"/>
      <c r="V593" s="269"/>
      <c r="W593" s="269"/>
      <c r="X593" s="269"/>
      <c r="Y593" s="269"/>
      <c r="Z593" s="269"/>
      <c r="AA593" s="269"/>
      <c r="AB593" s="269"/>
      <c r="AC593" s="269"/>
      <c r="AD593" s="269"/>
      <c r="AE593" s="269"/>
      <c r="AF593" s="269"/>
      <c r="AG593" s="269"/>
      <c r="AH593" s="269"/>
      <c r="AI593" s="269"/>
      <c r="AJ593" s="269"/>
      <c r="AK593" s="269"/>
      <c r="AL593" s="269"/>
      <c r="AM593" s="269"/>
      <c r="AN593" s="269"/>
      <c r="AO593" s="269"/>
      <c r="AP593" s="269"/>
      <c r="AQ593" s="269"/>
      <c r="AR593" s="269"/>
    </row>
    <row r="594" spans="1:44">
      <c r="A594" s="269"/>
      <c r="B594" s="269"/>
      <c r="C594" s="269"/>
      <c r="D594" s="269"/>
      <c r="E594" s="269"/>
      <c r="F594" s="269"/>
      <c r="G594" s="269"/>
      <c r="H594" s="269"/>
      <c r="I594" s="269"/>
      <c r="J594" s="269"/>
      <c r="K594" s="269"/>
      <c r="L594" s="269"/>
      <c r="M594" s="269"/>
      <c r="N594" s="269"/>
      <c r="O594" s="269"/>
      <c r="P594" s="269"/>
      <c r="Q594" s="269"/>
      <c r="R594" s="269"/>
      <c r="S594" s="269"/>
      <c r="T594" s="269"/>
      <c r="U594" s="269"/>
      <c r="V594" s="269"/>
      <c r="W594" s="269"/>
      <c r="X594" s="269"/>
      <c r="Y594" s="269"/>
      <c r="Z594" s="269"/>
      <c r="AA594" s="269"/>
      <c r="AB594" s="269"/>
      <c r="AC594" s="269"/>
      <c r="AD594" s="269"/>
      <c r="AE594" s="269"/>
      <c r="AF594" s="269"/>
      <c r="AG594" s="269"/>
      <c r="AH594" s="269"/>
      <c r="AI594" s="269"/>
      <c r="AJ594" s="269"/>
      <c r="AK594" s="269"/>
      <c r="AL594" s="269"/>
      <c r="AM594" s="269"/>
      <c r="AN594" s="269"/>
      <c r="AO594" s="269"/>
      <c r="AP594" s="269"/>
      <c r="AQ594" s="269"/>
      <c r="AR594" s="269"/>
    </row>
    <row r="595" spans="1:44">
      <c r="A595" s="269"/>
      <c r="B595" s="269"/>
      <c r="C595" s="269"/>
      <c r="D595" s="269"/>
      <c r="E595" s="269"/>
      <c r="F595" s="269"/>
      <c r="G595" s="269"/>
      <c r="H595" s="269"/>
      <c r="I595" s="269"/>
      <c r="J595" s="269"/>
      <c r="K595" s="269"/>
      <c r="L595" s="269"/>
      <c r="M595" s="269"/>
      <c r="N595" s="269"/>
      <c r="O595" s="269"/>
      <c r="P595" s="269"/>
      <c r="Q595" s="269"/>
      <c r="R595" s="269"/>
      <c r="S595" s="269"/>
      <c r="T595" s="269"/>
      <c r="U595" s="269"/>
      <c r="V595" s="269"/>
      <c r="W595" s="269"/>
      <c r="X595" s="269"/>
      <c r="Y595" s="269"/>
      <c r="Z595" s="269"/>
      <c r="AA595" s="269"/>
      <c r="AB595" s="269"/>
      <c r="AC595" s="269"/>
      <c r="AD595" s="269"/>
      <c r="AE595" s="269"/>
      <c r="AF595" s="269"/>
      <c r="AG595" s="269"/>
      <c r="AH595" s="269"/>
      <c r="AI595" s="269"/>
      <c r="AJ595" s="269"/>
      <c r="AK595" s="269"/>
      <c r="AL595" s="269"/>
      <c r="AM595" s="269"/>
      <c r="AN595" s="269"/>
      <c r="AO595" s="269"/>
      <c r="AP595" s="269"/>
      <c r="AQ595" s="269"/>
      <c r="AR595" s="269"/>
    </row>
    <row r="596" spans="1:44">
      <c r="A596" s="269"/>
      <c r="B596" s="269"/>
      <c r="C596" s="269"/>
      <c r="D596" s="269"/>
      <c r="E596" s="269"/>
      <c r="F596" s="269"/>
      <c r="G596" s="269"/>
      <c r="H596" s="269"/>
      <c r="I596" s="269"/>
      <c r="J596" s="269"/>
      <c r="K596" s="269"/>
      <c r="L596" s="269"/>
      <c r="M596" s="269"/>
      <c r="N596" s="269"/>
      <c r="O596" s="269"/>
      <c r="P596" s="269"/>
      <c r="Q596" s="269"/>
      <c r="R596" s="269"/>
      <c r="S596" s="269"/>
      <c r="T596" s="269"/>
      <c r="U596" s="269"/>
      <c r="V596" s="269"/>
      <c r="W596" s="269"/>
      <c r="X596" s="269"/>
      <c r="Y596" s="269"/>
      <c r="Z596" s="269"/>
      <c r="AA596" s="269"/>
      <c r="AB596" s="269"/>
      <c r="AC596" s="269"/>
      <c r="AD596" s="269"/>
      <c r="AE596" s="269"/>
      <c r="AF596" s="269"/>
      <c r="AG596" s="269"/>
      <c r="AH596" s="269"/>
      <c r="AI596" s="269"/>
      <c r="AJ596" s="269"/>
      <c r="AK596" s="269"/>
      <c r="AL596" s="269"/>
      <c r="AM596" s="269"/>
      <c r="AN596" s="269"/>
      <c r="AO596" s="269"/>
      <c r="AP596" s="269"/>
      <c r="AQ596" s="269"/>
      <c r="AR596" s="269"/>
    </row>
    <row r="597" spans="1:44">
      <c r="A597" s="269"/>
      <c r="B597" s="269"/>
      <c r="C597" s="269"/>
      <c r="D597" s="269"/>
      <c r="E597" s="269"/>
      <c r="F597" s="269"/>
      <c r="G597" s="269"/>
      <c r="H597" s="269"/>
      <c r="I597" s="269"/>
      <c r="J597" s="269"/>
      <c r="K597" s="269"/>
      <c r="L597" s="269"/>
      <c r="M597" s="269"/>
      <c r="N597" s="269"/>
      <c r="O597" s="269"/>
      <c r="P597" s="269"/>
      <c r="Q597" s="269"/>
      <c r="R597" s="269"/>
      <c r="S597" s="269"/>
      <c r="T597" s="269"/>
      <c r="U597" s="269"/>
      <c r="V597" s="269"/>
      <c r="W597" s="269"/>
      <c r="X597" s="269"/>
      <c r="Y597" s="269"/>
      <c r="Z597" s="269"/>
      <c r="AA597" s="269"/>
      <c r="AB597" s="269"/>
      <c r="AC597" s="269"/>
      <c r="AD597" s="269"/>
      <c r="AE597" s="269"/>
      <c r="AF597" s="269"/>
      <c r="AG597" s="269"/>
      <c r="AH597" s="269"/>
      <c r="AI597" s="269"/>
      <c r="AJ597" s="269"/>
      <c r="AK597" s="269"/>
      <c r="AL597" s="269"/>
      <c r="AM597" s="269"/>
      <c r="AN597" s="269"/>
      <c r="AO597" s="269"/>
      <c r="AP597" s="269"/>
      <c r="AQ597" s="269"/>
      <c r="AR597" s="269"/>
    </row>
    <row r="598" spans="1:44">
      <c r="A598" s="269"/>
      <c r="B598" s="269"/>
      <c r="C598" s="269"/>
      <c r="D598" s="269"/>
      <c r="E598" s="269"/>
      <c r="F598" s="269"/>
      <c r="G598" s="269"/>
      <c r="H598" s="269"/>
      <c r="I598" s="269"/>
      <c r="J598" s="269"/>
      <c r="K598" s="269"/>
      <c r="L598" s="269"/>
      <c r="M598" s="269"/>
      <c r="N598" s="269"/>
      <c r="O598" s="269"/>
      <c r="P598" s="269"/>
      <c r="Q598" s="269"/>
      <c r="R598" s="269"/>
      <c r="S598" s="269"/>
      <c r="T598" s="269"/>
      <c r="U598" s="269"/>
      <c r="V598" s="269"/>
      <c r="W598" s="269"/>
      <c r="X598" s="269"/>
      <c r="Y598" s="269"/>
      <c r="Z598" s="269"/>
      <c r="AA598" s="269"/>
      <c r="AB598" s="269"/>
      <c r="AC598" s="269"/>
      <c r="AD598" s="269"/>
      <c r="AE598" s="269"/>
      <c r="AF598" s="269"/>
      <c r="AG598" s="269"/>
      <c r="AH598" s="269"/>
      <c r="AI598" s="269"/>
      <c r="AJ598" s="269"/>
      <c r="AK598" s="269"/>
      <c r="AL598" s="269"/>
      <c r="AM598" s="269"/>
      <c r="AN598" s="269"/>
      <c r="AO598" s="269"/>
      <c r="AP598" s="269"/>
      <c r="AQ598" s="269"/>
      <c r="AR598" s="269"/>
    </row>
    <row r="599" spans="1:44">
      <c r="A599" s="269"/>
      <c r="B599" s="269"/>
      <c r="C599" s="269"/>
      <c r="D599" s="269"/>
      <c r="E599" s="269"/>
      <c r="F599" s="269"/>
      <c r="G599" s="269"/>
      <c r="H599" s="269"/>
      <c r="I599" s="269"/>
      <c r="J599" s="269"/>
      <c r="K599" s="269"/>
      <c r="L599" s="269"/>
      <c r="M599" s="269"/>
      <c r="N599" s="269"/>
      <c r="O599" s="269"/>
      <c r="P599" s="269"/>
      <c r="Q599" s="269"/>
      <c r="R599" s="269"/>
      <c r="S599" s="269"/>
      <c r="T599" s="269"/>
      <c r="U599" s="269"/>
      <c r="V599" s="269"/>
      <c r="W599" s="269"/>
      <c r="X599" s="269"/>
      <c r="Y599" s="269"/>
      <c r="Z599" s="269"/>
      <c r="AA599" s="269"/>
      <c r="AB599" s="269"/>
      <c r="AC599" s="269"/>
      <c r="AD599" s="269"/>
      <c r="AE599" s="269"/>
      <c r="AF599" s="269"/>
      <c r="AG599" s="269"/>
      <c r="AH599" s="269"/>
      <c r="AI599" s="269"/>
      <c r="AJ599" s="269"/>
      <c r="AK599" s="269"/>
      <c r="AL599" s="269"/>
      <c r="AM599" s="269"/>
      <c r="AN599" s="269"/>
      <c r="AO599" s="269"/>
      <c r="AP599" s="269"/>
      <c r="AQ599" s="269"/>
      <c r="AR599" s="269"/>
    </row>
    <row r="600" spans="1:44">
      <c r="A600" s="269"/>
      <c r="B600" s="269"/>
      <c r="C600" s="269"/>
      <c r="D600" s="269"/>
      <c r="E600" s="269"/>
      <c r="F600" s="269"/>
      <c r="G600" s="269"/>
      <c r="H600" s="269"/>
      <c r="I600" s="269"/>
      <c r="J600" s="269"/>
      <c r="K600" s="269"/>
      <c r="L600" s="269"/>
      <c r="M600" s="269"/>
      <c r="N600" s="269"/>
      <c r="O600" s="269"/>
      <c r="P600" s="269"/>
      <c r="Q600" s="269"/>
      <c r="R600" s="269"/>
      <c r="S600" s="269"/>
      <c r="T600" s="269"/>
      <c r="U600" s="269"/>
      <c r="V600" s="269"/>
      <c r="W600" s="269"/>
      <c r="X600" s="269"/>
      <c r="Y600" s="269"/>
      <c r="Z600" s="269"/>
      <c r="AA600" s="269"/>
      <c r="AB600" s="269"/>
      <c r="AC600" s="269"/>
      <c r="AD600" s="269"/>
      <c r="AE600" s="269"/>
      <c r="AF600" s="269"/>
      <c r="AG600" s="269"/>
      <c r="AH600" s="269"/>
      <c r="AI600" s="269"/>
      <c r="AJ600" s="269"/>
      <c r="AK600" s="269"/>
      <c r="AL600" s="269"/>
      <c r="AM600" s="269"/>
      <c r="AN600" s="269"/>
      <c r="AO600" s="269"/>
      <c r="AP600" s="269"/>
      <c r="AQ600" s="269"/>
      <c r="AR600" s="269"/>
    </row>
    <row r="601" spans="1:44">
      <c r="A601" s="269"/>
      <c r="B601" s="269"/>
      <c r="C601" s="269"/>
      <c r="D601" s="269"/>
      <c r="E601" s="269"/>
      <c r="F601" s="269"/>
      <c r="G601" s="269"/>
      <c r="H601" s="269"/>
      <c r="I601" s="269"/>
      <c r="J601" s="269"/>
      <c r="K601" s="269"/>
      <c r="L601" s="269"/>
      <c r="M601" s="269"/>
      <c r="N601" s="269"/>
      <c r="O601" s="269"/>
      <c r="P601" s="269"/>
      <c r="Q601" s="269"/>
      <c r="R601" s="269"/>
      <c r="S601" s="269"/>
      <c r="T601" s="269"/>
      <c r="U601" s="269"/>
      <c r="V601" s="269"/>
      <c r="W601" s="269"/>
      <c r="X601" s="269"/>
      <c r="Y601" s="269"/>
      <c r="Z601" s="269"/>
      <c r="AA601" s="269"/>
      <c r="AB601" s="269"/>
      <c r="AC601" s="269"/>
      <c r="AD601" s="269"/>
      <c r="AE601" s="269"/>
      <c r="AF601" s="269"/>
      <c r="AG601" s="269"/>
      <c r="AH601" s="269"/>
      <c r="AI601" s="269"/>
      <c r="AJ601" s="269"/>
      <c r="AK601" s="269"/>
      <c r="AL601" s="269"/>
      <c r="AM601" s="269"/>
      <c r="AN601" s="269"/>
      <c r="AO601" s="269"/>
      <c r="AP601" s="269"/>
      <c r="AQ601" s="269"/>
      <c r="AR601" s="269"/>
    </row>
    <row r="602" spans="1:44">
      <c r="A602" s="269"/>
      <c r="B602" s="269"/>
      <c r="C602" s="269"/>
      <c r="D602" s="269"/>
      <c r="E602" s="269"/>
      <c r="F602" s="269"/>
      <c r="G602" s="269"/>
      <c r="H602" s="269"/>
      <c r="I602" s="269"/>
      <c r="J602" s="269"/>
      <c r="K602" s="269"/>
      <c r="L602" s="269"/>
      <c r="M602" s="269"/>
      <c r="N602" s="269"/>
      <c r="O602" s="269"/>
      <c r="P602" s="269"/>
      <c r="Q602" s="269"/>
      <c r="R602" s="269"/>
      <c r="S602" s="269"/>
      <c r="T602" s="269"/>
      <c r="U602" s="269"/>
      <c r="V602" s="269"/>
      <c r="W602" s="269"/>
      <c r="X602" s="269"/>
      <c r="Y602" s="269"/>
      <c r="Z602" s="269"/>
      <c r="AA602" s="269"/>
      <c r="AB602" s="269"/>
      <c r="AC602" s="269"/>
      <c r="AD602" s="269"/>
      <c r="AE602" s="269"/>
      <c r="AF602" s="269"/>
      <c r="AG602" s="269"/>
      <c r="AH602" s="269"/>
      <c r="AI602" s="269"/>
      <c r="AJ602" s="269"/>
      <c r="AK602" s="269"/>
      <c r="AL602" s="269"/>
      <c r="AM602" s="269"/>
      <c r="AN602" s="269"/>
      <c r="AO602" s="269"/>
      <c r="AP602" s="269"/>
      <c r="AQ602" s="269"/>
      <c r="AR602" s="269"/>
    </row>
    <row r="603" spans="1:44">
      <c r="A603" s="269"/>
      <c r="B603" s="269"/>
      <c r="C603" s="269"/>
      <c r="D603" s="269"/>
      <c r="E603" s="269"/>
      <c r="F603" s="269"/>
      <c r="G603" s="269"/>
      <c r="H603" s="269"/>
      <c r="I603" s="269"/>
      <c r="J603" s="269"/>
      <c r="K603" s="269"/>
      <c r="L603" s="269"/>
      <c r="M603" s="269"/>
      <c r="N603" s="269"/>
      <c r="O603" s="269"/>
      <c r="P603" s="269"/>
      <c r="Q603" s="269"/>
      <c r="R603" s="269"/>
      <c r="S603" s="269"/>
      <c r="T603" s="269"/>
      <c r="U603" s="269"/>
      <c r="V603" s="269"/>
      <c r="W603" s="269"/>
      <c r="X603" s="269"/>
      <c r="Y603" s="269"/>
      <c r="Z603" s="269"/>
      <c r="AA603" s="269"/>
      <c r="AB603" s="269"/>
      <c r="AC603" s="269"/>
      <c r="AD603" s="269"/>
      <c r="AE603" s="269"/>
      <c r="AF603" s="269"/>
      <c r="AG603" s="269"/>
      <c r="AH603" s="269"/>
      <c r="AI603" s="269"/>
      <c r="AJ603" s="269"/>
      <c r="AK603" s="269"/>
      <c r="AL603" s="269"/>
      <c r="AM603" s="269"/>
      <c r="AN603" s="269"/>
      <c r="AO603" s="269"/>
      <c r="AP603" s="269"/>
      <c r="AQ603" s="269"/>
      <c r="AR603" s="269"/>
    </row>
    <row r="604" spans="1:44">
      <c r="A604" s="269"/>
      <c r="B604" s="269"/>
      <c r="C604" s="269"/>
      <c r="D604" s="269"/>
      <c r="E604" s="269"/>
      <c r="F604" s="269"/>
      <c r="G604" s="269"/>
      <c r="H604" s="269"/>
      <c r="I604" s="269"/>
      <c r="J604" s="269"/>
      <c r="K604" s="269"/>
      <c r="L604" s="269"/>
      <c r="M604" s="269"/>
      <c r="N604" s="269"/>
      <c r="O604" s="269"/>
      <c r="P604" s="269"/>
      <c r="Q604" s="269"/>
      <c r="R604" s="269"/>
      <c r="S604" s="269"/>
      <c r="T604" s="269"/>
      <c r="U604" s="269"/>
      <c r="V604" s="269"/>
      <c r="W604" s="269"/>
      <c r="X604" s="269"/>
      <c r="Y604" s="269"/>
      <c r="Z604" s="269"/>
      <c r="AA604" s="269"/>
      <c r="AB604" s="269"/>
      <c r="AC604" s="269"/>
      <c r="AD604" s="269"/>
      <c r="AE604" s="269"/>
      <c r="AF604" s="269"/>
      <c r="AG604" s="269"/>
      <c r="AH604" s="269"/>
      <c r="AI604" s="269"/>
      <c r="AJ604" s="269"/>
      <c r="AK604" s="269"/>
      <c r="AL604" s="269"/>
      <c r="AM604" s="269"/>
      <c r="AN604" s="269"/>
      <c r="AO604" s="269"/>
      <c r="AP604" s="269"/>
      <c r="AQ604" s="269"/>
      <c r="AR604" s="269"/>
    </row>
    <row r="605" spans="1:44">
      <c r="A605" s="269"/>
      <c r="B605" s="269"/>
      <c r="C605" s="269"/>
      <c r="D605" s="269"/>
      <c r="E605" s="269"/>
      <c r="F605" s="269"/>
      <c r="G605" s="269"/>
      <c r="H605" s="269"/>
      <c r="I605" s="269"/>
      <c r="J605" s="269"/>
      <c r="K605" s="269"/>
      <c r="L605" s="269"/>
      <c r="M605" s="269"/>
      <c r="N605" s="269"/>
      <c r="O605" s="269"/>
      <c r="P605" s="269"/>
      <c r="Q605" s="269"/>
      <c r="R605" s="269"/>
      <c r="S605" s="269"/>
      <c r="T605" s="269"/>
      <c r="U605" s="269"/>
      <c r="V605" s="269"/>
      <c r="W605" s="269"/>
      <c r="X605" s="269"/>
      <c r="Y605" s="269"/>
      <c r="Z605" s="269"/>
      <c r="AA605" s="269"/>
      <c r="AB605" s="269"/>
      <c r="AC605" s="269"/>
      <c r="AD605" s="269"/>
      <c r="AE605" s="269"/>
      <c r="AF605" s="269"/>
      <c r="AG605" s="269"/>
      <c r="AH605" s="269"/>
      <c r="AI605" s="269"/>
      <c r="AJ605" s="269"/>
      <c r="AK605" s="269"/>
      <c r="AL605" s="269"/>
      <c r="AM605" s="269"/>
      <c r="AN605" s="269"/>
      <c r="AO605" s="269"/>
      <c r="AP605" s="269"/>
      <c r="AQ605" s="269"/>
      <c r="AR605" s="269"/>
    </row>
    <row r="606" spans="1:44">
      <c r="A606" s="269"/>
      <c r="B606" s="269"/>
      <c r="C606" s="269"/>
      <c r="D606" s="269"/>
      <c r="E606" s="269"/>
      <c r="F606" s="269"/>
      <c r="G606" s="269"/>
      <c r="H606" s="269"/>
      <c r="I606" s="269"/>
      <c r="J606" s="269"/>
      <c r="K606" s="269"/>
      <c r="L606" s="269"/>
      <c r="M606" s="269"/>
      <c r="N606" s="269"/>
      <c r="O606" s="269"/>
      <c r="P606" s="269"/>
      <c r="Q606" s="269"/>
      <c r="R606" s="269"/>
      <c r="S606" s="269"/>
      <c r="T606" s="269"/>
      <c r="U606" s="269"/>
      <c r="V606" s="269"/>
      <c r="W606" s="269"/>
      <c r="X606" s="269"/>
      <c r="Y606" s="269"/>
      <c r="Z606" s="269"/>
      <c r="AA606" s="269"/>
      <c r="AB606" s="269"/>
      <c r="AC606" s="269"/>
      <c r="AD606" s="269"/>
      <c r="AE606" s="269"/>
      <c r="AF606" s="269"/>
      <c r="AG606" s="269"/>
      <c r="AH606" s="269"/>
      <c r="AI606" s="269"/>
      <c r="AJ606" s="269"/>
      <c r="AK606" s="269"/>
      <c r="AL606" s="269"/>
      <c r="AM606" s="269"/>
      <c r="AN606" s="269"/>
      <c r="AO606" s="269"/>
      <c r="AP606" s="269"/>
      <c r="AQ606" s="269"/>
      <c r="AR606" s="269"/>
    </row>
    <row r="607" spans="1:44">
      <c r="A607" s="269"/>
      <c r="B607" s="269"/>
      <c r="C607" s="269"/>
      <c r="D607" s="269"/>
      <c r="E607" s="269"/>
      <c r="F607" s="269"/>
      <c r="G607" s="269"/>
      <c r="H607" s="269"/>
      <c r="I607" s="269"/>
      <c r="J607" s="269"/>
      <c r="K607" s="269"/>
      <c r="L607" s="269"/>
      <c r="M607" s="269"/>
      <c r="N607" s="269"/>
      <c r="O607" s="269"/>
      <c r="P607" s="269"/>
      <c r="Q607" s="269"/>
      <c r="R607" s="269"/>
      <c r="S607" s="269"/>
      <c r="T607" s="269"/>
      <c r="U607" s="269"/>
      <c r="V607" s="269"/>
      <c r="W607" s="269"/>
      <c r="X607" s="269"/>
      <c r="Y607" s="269"/>
      <c r="Z607" s="269"/>
      <c r="AA607" s="269"/>
      <c r="AB607" s="269"/>
      <c r="AC607" s="269"/>
      <c r="AD607" s="269"/>
      <c r="AE607" s="269"/>
      <c r="AF607" s="269"/>
      <c r="AG607" s="269"/>
      <c r="AH607" s="269"/>
      <c r="AI607" s="269"/>
      <c r="AJ607" s="269"/>
      <c r="AK607" s="269"/>
      <c r="AL607" s="269"/>
      <c r="AM607" s="269"/>
      <c r="AN607" s="269"/>
      <c r="AO607" s="269"/>
      <c r="AP607" s="269"/>
      <c r="AQ607" s="269"/>
      <c r="AR607" s="269"/>
    </row>
    <row r="608" spans="1:44">
      <c r="A608" s="269"/>
      <c r="B608" s="269"/>
      <c r="C608" s="269"/>
      <c r="D608" s="269"/>
      <c r="E608" s="269"/>
      <c r="F608" s="269"/>
      <c r="G608" s="269"/>
      <c r="H608" s="269"/>
      <c r="I608" s="269"/>
      <c r="J608" s="269"/>
      <c r="K608" s="269"/>
      <c r="L608" s="269"/>
      <c r="M608" s="269"/>
      <c r="N608" s="269"/>
      <c r="O608" s="269"/>
      <c r="P608" s="269"/>
      <c r="Q608" s="269"/>
      <c r="R608" s="269"/>
      <c r="S608" s="269"/>
      <c r="T608" s="269"/>
      <c r="U608" s="269"/>
      <c r="V608" s="269"/>
      <c r="W608" s="269"/>
      <c r="X608" s="269"/>
      <c r="Y608" s="269"/>
      <c r="Z608" s="269"/>
      <c r="AA608" s="269"/>
      <c r="AB608" s="269"/>
      <c r="AC608" s="269"/>
      <c r="AD608" s="269"/>
      <c r="AE608" s="269"/>
      <c r="AF608" s="269"/>
      <c r="AG608" s="269"/>
      <c r="AH608" s="269"/>
      <c r="AI608" s="269"/>
      <c r="AJ608" s="269"/>
      <c r="AK608" s="269"/>
      <c r="AL608" s="269"/>
      <c r="AM608" s="269"/>
      <c r="AN608" s="269"/>
      <c r="AO608" s="269"/>
      <c r="AP608" s="269"/>
      <c r="AQ608" s="269"/>
      <c r="AR608" s="269"/>
    </row>
    <row r="609" spans="1:44">
      <c r="A609" s="269"/>
      <c r="B609" s="269"/>
      <c r="C609" s="269"/>
      <c r="D609" s="269"/>
      <c r="E609" s="269"/>
      <c r="F609" s="269"/>
      <c r="G609" s="269"/>
      <c r="H609" s="269"/>
      <c r="I609" s="269"/>
      <c r="J609" s="269"/>
      <c r="K609" s="269"/>
      <c r="L609" s="269"/>
      <c r="M609" s="269"/>
      <c r="N609" s="269"/>
      <c r="O609" s="269"/>
      <c r="P609" s="269"/>
      <c r="Q609" s="269"/>
      <c r="R609" s="269"/>
      <c r="S609" s="269"/>
      <c r="T609" s="269"/>
      <c r="U609" s="269"/>
      <c r="V609" s="269"/>
      <c r="W609" s="269"/>
      <c r="X609" s="269"/>
      <c r="Y609" s="269"/>
      <c r="Z609" s="269"/>
      <c r="AA609" s="269"/>
      <c r="AB609" s="269"/>
      <c r="AC609" s="269"/>
      <c r="AD609" s="269"/>
      <c r="AE609" s="269"/>
      <c r="AF609" s="269"/>
      <c r="AG609" s="269"/>
      <c r="AH609" s="269"/>
      <c r="AI609" s="269"/>
      <c r="AJ609" s="269"/>
      <c r="AK609" s="269"/>
      <c r="AL609" s="269"/>
      <c r="AM609" s="269"/>
      <c r="AN609" s="269"/>
      <c r="AO609" s="269"/>
      <c r="AP609" s="269"/>
      <c r="AQ609" s="269"/>
      <c r="AR609" s="269"/>
    </row>
    <row r="610" spans="1:44">
      <c r="A610" s="269"/>
      <c r="B610" s="269"/>
      <c r="C610" s="269"/>
      <c r="D610" s="269"/>
      <c r="E610" s="269"/>
      <c r="F610" s="269"/>
      <c r="G610" s="269"/>
      <c r="H610" s="269"/>
      <c r="I610" s="269"/>
      <c r="J610" s="269"/>
      <c r="K610" s="269"/>
      <c r="L610" s="269"/>
      <c r="M610" s="269"/>
      <c r="N610" s="269"/>
      <c r="O610" s="269"/>
      <c r="P610" s="269"/>
      <c r="Q610" s="269"/>
      <c r="R610" s="269"/>
      <c r="S610" s="269"/>
      <c r="T610" s="269"/>
      <c r="U610" s="269"/>
      <c r="V610" s="269"/>
      <c r="W610" s="269"/>
      <c r="X610" s="269"/>
      <c r="Y610" s="269"/>
      <c r="Z610" s="269"/>
      <c r="AA610" s="269"/>
      <c r="AB610" s="269"/>
      <c r="AC610" s="269"/>
      <c r="AD610" s="269"/>
      <c r="AE610" s="269"/>
      <c r="AF610" s="269"/>
      <c r="AG610" s="269"/>
      <c r="AH610" s="269"/>
      <c r="AI610" s="269"/>
      <c r="AJ610" s="269"/>
      <c r="AK610" s="269"/>
      <c r="AL610" s="269"/>
      <c r="AM610" s="269"/>
      <c r="AN610" s="269"/>
      <c r="AO610" s="269"/>
      <c r="AP610" s="269"/>
      <c r="AQ610" s="269"/>
      <c r="AR610" s="269"/>
    </row>
    <row r="611" spans="1:44">
      <c r="A611" s="269"/>
      <c r="B611" s="269"/>
      <c r="C611" s="269"/>
      <c r="D611" s="269"/>
      <c r="E611" s="269"/>
      <c r="F611" s="269"/>
      <c r="G611" s="269"/>
      <c r="H611" s="269"/>
      <c r="I611" s="269"/>
      <c r="J611" s="269"/>
      <c r="K611" s="269"/>
      <c r="L611" s="269"/>
      <c r="M611" s="269"/>
      <c r="N611" s="269"/>
      <c r="O611" s="269"/>
      <c r="P611" s="269"/>
      <c r="Q611" s="269"/>
      <c r="R611" s="269"/>
      <c r="S611" s="269"/>
      <c r="T611" s="269"/>
      <c r="U611" s="269"/>
      <c r="V611" s="269"/>
      <c r="W611" s="269"/>
      <c r="X611" s="269"/>
      <c r="Y611" s="269"/>
      <c r="Z611" s="269"/>
      <c r="AA611" s="269"/>
      <c r="AB611" s="269"/>
      <c r="AC611" s="269"/>
      <c r="AD611" s="269"/>
      <c r="AE611" s="269"/>
      <c r="AF611" s="269"/>
      <c r="AG611" s="269"/>
      <c r="AH611" s="269"/>
      <c r="AI611" s="269"/>
      <c r="AJ611" s="269"/>
      <c r="AK611" s="269"/>
      <c r="AL611" s="269"/>
      <c r="AM611" s="269"/>
      <c r="AN611" s="269"/>
      <c r="AO611" s="269"/>
      <c r="AP611" s="269"/>
      <c r="AQ611" s="269"/>
      <c r="AR611" s="269"/>
    </row>
    <row r="612" spans="1:44">
      <c r="A612" s="269"/>
      <c r="B612" s="269"/>
      <c r="C612" s="269"/>
      <c r="D612" s="269"/>
      <c r="E612" s="269"/>
      <c r="F612" s="269"/>
      <c r="G612" s="269"/>
      <c r="H612" s="269"/>
      <c r="I612" s="269"/>
      <c r="J612" s="269"/>
      <c r="K612" s="269"/>
      <c r="L612" s="269"/>
      <c r="M612" s="269"/>
      <c r="N612" s="269"/>
      <c r="O612" s="269"/>
      <c r="P612" s="269"/>
      <c r="Q612" s="269"/>
      <c r="R612" s="269"/>
      <c r="S612" s="269"/>
      <c r="T612" s="269"/>
      <c r="U612" s="269"/>
      <c r="V612" s="269"/>
      <c r="W612" s="269"/>
      <c r="X612" s="269"/>
      <c r="Y612" s="269"/>
      <c r="Z612" s="269"/>
      <c r="AA612" s="269"/>
      <c r="AB612" s="269"/>
      <c r="AC612" s="269"/>
      <c r="AD612" s="269"/>
      <c r="AE612" s="269"/>
      <c r="AF612" s="269"/>
      <c r="AG612" s="269"/>
      <c r="AH612" s="269"/>
      <c r="AI612" s="269"/>
      <c r="AJ612" s="269"/>
      <c r="AK612" s="269"/>
      <c r="AL612" s="269"/>
      <c r="AM612" s="269"/>
      <c r="AN612" s="269"/>
      <c r="AO612" s="269"/>
      <c r="AP612" s="269"/>
      <c r="AQ612" s="269"/>
      <c r="AR612" s="269"/>
    </row>
    <row r="613" spans="1:44">
      <c r="A613" s="269"/>
      <c r="B613" s="269"/>
      <c r="C613" s="269"/>
      <c r="D613" s="269"/>
      <c r="E613" s="269"/>
      <c r="F613" s="269"/>
      <c r="G613" s="269"/>
      <c r="H613" s="269"/>
      <c r="I613" s="269"/>
      <c r="J613" s="269"/>
      <c r="K613" s="269"/>
      <c r="L613" s="269"/>
      <c r="M613" s="269"/>
      <c r="N613" s="269"/>
      <c r="O613" s="269"/>
      <c r="P613" s="269"/>
      <c r="Q613" s="269"/>
      <c r="R613" s="269"/>
      <c r="S613" s="269"/>
      <c r="T613" s="269"/>
      <c r="U613" s="269"/>
      <c r="V613" s="269"/>
      <c r="W613" s="269"/>
      <c r="X613" s="269"/>
      <c r="Y613" s="269"/>
      <c r="Z613" s="269"/>
      <c r="AA613" s="269"/>
      <c r="AB613" s="269"/>
      <c r="AC613" s="269"/>
      <c r="AD613" s="269"/>
      <c r="AE613" s="269"/>
      <c r="AF613" s="269"/>
      <c r="AG613" s="269"/>
      <c r="AH613" s="269"/>
      <c r="AI613" s="269"/>
      <c r="AJ613" s="269"/>
      <c r="AK613" s="269"/>
      <c r="AL613" s="269"/>
      <c r="AM613" s="269"/>
      <c r="AN613" s="269"/>
      <c r="AO613" s="269"/>
      <c r="AP613" s="269"/>
      <c r="AQ613" s="269"/>
      <c r="AR613" s="269"/>
    </row>
  </sheetData>
  <sheetProtection algorithmName="SHA-512" hashValue="Dmbo7yHFlA12hgkDbrg+Wk24DBV/AXa3nNBphkORe92z4DTqR2oUxNBzqcPp498yR1Q9ramHCKSbT1PEW6tWMg==" saltValue="60caCWRvezYuqEDNnx9C7w==" spinCount="100000" sheet="1" objects="1" scenarios="1" formatCells="0" formatColumns="0" formatRows="0" insertColumns="0" insertRows="0" deleteColumns="0" deleteRows="0" selectLockedCells="1"/>
  <mergeCells count="18">
    <mergeCell ref="P1:AC3"/>
    <mergeCell ref="A4:D4"/>
    <mergeCell ref="E4:P4"/>
    <mergeCell ref="Q4:T4"/>
    <mergeCell ref="U4:AD4"/>
    <mergeCell ref="A13:AD81"/>
    <mergeCell ref="A5:G5"/>
    <mergeCell ref="H5:P5"/>
    <mergeCell ref="Q5:U5"/>
    <mergeCell ref="V5:AD5"/>
    <mergeCell ref="A11:AD12"/>
    <mergeCell ref="H6:P6"/>
    <mergeCell ref="Q6:AD6"/>
    <mergeCell ref="M7:P7"/>
    <mergeCell ref="Q7:AD7"/>
    <mergeCell ref="A8:P9"/>
    <mergeCell ref="Q8:AD8"/>
    <mergeCell ref="Q9:AD9"/>
  </mergeCells>
  <printOptions horizontalCentered="1"/>
  <pageMargins left="0.6692913385826772" right="0.59055118110236227" top="0.9055118110236221" bottom="0.53" header="0.31496062992125984" footer="0.31496062992125984"/>
  <pageSetup paperSize="9" scale="72" orientation="portrait" r:id="rId1"/>
  <headerFooter>
    <oddHeader>&amp;R&amp;G</oddHeader>
    <oddFooter>&amp;LMHG-PU-F-0018&amp;CPPAP Template ; Rev.: 01/2019&amp;RJ.-U. Liedtke / PU-SD-GA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AO78"/>
  <sheetViews>
    <sheetView showGridLines="0" zoomScaleNormal="100" workbookViewId="0">
      <selection activeCell="N61" sqref="N61:Q61"/>
    </sheetView>
  </sheetViews>
  <sheetFormatPr baseColWidth="10" defaultColWidth="9.140625" defaultRowHeight="12.75"/>
  <cols>
    <col min="1" max="1" width="4.7109375" style="32" customWidth="1"/>
    <col min="2" max="6" width="3.42578125" style="32" customWidth="1"/>
    <col min="7" max="7" width="7.140625" style="32" customWidth="1"/>
    <col min="8" max="8" width="3.42578125" style="32" customWidth="1"/>
    <col min="9" max="9" width="4.7109375" style="32" customWidth="1"/>
    <col min="10" max="10" width="3.42578125" style="32" customWidth="1"/>
    <col min="11" max="11" width="2.7109375" style="32" customWidth="1"/>
    <col min="12" max="14" width="3.42578125" style="32" customWidth="1"/>
    <col min="15" max="15" width="3.85546875" style="32" customWidth="1"/>
    <col min="16" max="17" width="5.85546875" style="32" customWidth="1"/>
    <col min="18" max="18" width="2.7109375" style="32" customWidth="1"/>
    <col min="19" max="19" width="3.42578125" style="32" customWidth="1"/>
    <col min="20" max="20" width="0.5703125" style="32" customWidth="1"/>
    <col min="21" max="21" width="3" style="32" customWidth="1"/>
    <col min="22" max="23" width="3.42578125" style="32" customWidth="1"/>
    <col min="24" max="24" width="1.7109375" style="32" customWidth="1"/>
    <col min="25" max="27" width="3.42578125" style="32" customWidth="1"/>
    <col min="28" max="28" width="2.7109375" style="32" customWidth="1"/>
    <col min="29" max="29" width="6.42578125" style="32" customWidth="1"/>
    <col min="30" max="30" width="4.7109375" style="32" customWidth="1"/>
    <col min="31" max="31" width="13.85546875" style="32" customWidth="1"/>
    <col min="32" max="16384" width="9.140625" style="32"/>
  </cols>
  <sheetData>
    <row r="1" spans="1:41" ht="12.75" customHeight="1">
      <c r="A1" s="109"/>
      <c r="B1" s="109"/>
      <c r="C1" s="109"/>
      <c r="D1" s="109"/>
      <c r="E1" s="109"/>
      <c r="F1" s="109"/>
      <c r="G1" s="109"/>
      <c r="H1" s="109"/>
      <c r="I1" s="109"/>
      <c r="J1" s="109"/>
      <c r="K1" s="109"/>
      <c r="L1" s="109"/>
      <c r="M1" s="109"/>
      <c r="N1" s="251"/>
      <c r="O1" s="251"/>
      <c r="P1" s="1079" t="str">
        <f>VLOOKUP("resultfromsupplierinternalrunrate",Translations!$A:$T,MATCH(PSW!AO7,Translations!A1:P1,0),0)</f>
        <v>Production Part Approval
Result from Supplier Run@Rate</v>
      </c>
      <c r="Q1" s="1079"/>
      <c r="R1" s="1079"/>
      <c r="S1" s="1079"/>
      <c r="T1" s="1079"/>
      <c r="U1" s="1079"/>
      <c r="V1" s="1079"/>
      <c r="W1" s="1079"/>
      <c r="X1" s="1079"/>
      <c r="Y1" s="1079"/>
      <c r="Z1" s="1079"/>
      <c r="AA1" s="1079"/>
      <c r="AB1" s="1079"/>
      <c r="AC1" s="1079"/>
      <c r="AD1" s="1079"/>
      <c r="AE1" s="251"/>
    </row>
    <row r="2" spans="1:41" ht="12.75" customHeight="1">
      <c r="A2" s="109"/>
      <c r="B2" s="109"/>
      <c r="C2" s="109"/>
      <c r="D2" s="109"/>
      <c r="E2" s="109"/>
      <c r="F2" s="109"/>
      <c r="G2" s="109"/>
      <c r="H2" s="109"/>
      <c r="I2" s="109"/>
      <c r="J2" s="109"/>
      <c r="K2" s="109"/>
      <c r="L2" s="109"/>
      <c r="M2" s="109"/>
      <c r="N2" s="251"/>
      <c r="O2" s="251"/>
      <c r="P2" s="1079"/>
      <c r="Q2" s="1079"/>
      <c r="R2" s="1079"/>
      <c r="S2" s="1079"/>
      <c r="T2" s="1079"/>
      <c r="U2" s="1079"/>
      <c r="V2" s="1079"/>
      <c r="W2" s="1079"/>
      <c r="X2" s="1079"/>
      <c r="Y2" s="1079"/>
      <c r="Z2" s="1079"/>
      <c r="AA2" s="1079"/>
      <c r="AB2" s="1079"/>
      <c r="AC2" s="1079"/>
      <c r="AD2" s="1079"/>
      <c r="AE2" s="251"/>
    </row>
    <row r="3" spans="1:41" ht="13.5" customHeight="1" thickBot="1">
      <c r="A3" s="252"/>
      <c r="B3" s="252"/>
      <c r="C3" s="252"/>
      <c r="D3" s="252"/>
      <c r="E3" s="252"/>
      <c r="F3" s="252"/>
      <c r="G3" s="252"/>
      <c r="H3" s="252"/>
      <c r="I3" s="252"/>
      <c r="J3" s="252"/>
      <c r="K3" s="252"/>
      <c r="L3" s="252"/>
      <c r="M3" s="252"/>
      <c r="N3" s="253"/>
      <c r="O3" s="253"/>
      <c r="P3" s="1080"/>
      <c r="Q3" s="1080"/>
      <c r="R3" s="1080"/>
      <c r="S3" s="1080"/>
      <c r="T3" s="1080"/>
      <c r="U3" s="1080"/>
      <c r="V3" s="1080"/>
      <c r="W3" s="1080"/>
      <c r="X3" s="1080"/>
      <c r="Y3" s="1080"/>
      <c r="Z3" s="1080"/>
      <c r="AA3" s="1080"/>
      <c r="AB3" s="1080"/>
      <c r="AC3" s="1080"/>
      <c r="AD3" s="1080"/>
      <c r="AE3" s="253"/>
    </row>
    <row r="4" spans="1:41">
      <c r="A4" s="1083" t="str">
        <f>'MAT Test'!A4</f>
        <v>ORGANIZATION:</v>
      </c>
      <c r="B4" s="1084"/>
      <c r="C4" s="1084"/>
      <c r="D4" s="1084"/>
      <c r="E4" s="569" t="str">
        <f>'DIM Test'!E4:R4</f>
        <v>?</v>
      </c>
      <c r="F4" s="569"/>
      <c r="G4" s="569"/>
      <c r="H4" s="569"/>
      <c r="I4" s="569"/>
      <c r="J4" s="569"/>
      <c r="K4" s="569"/>
      <c r="L4" s="569"/>
      <c r="M4" s="569"/>
      <c r="N4" s="569"/>
      <c r="O4" s="569"/>
      <c r="P4" s="570"/>
      <c r="Q4" s="1083" t="str">
        <f>'MAT Test'!R4</f>
        <v>PART NUMBER:</v>
      </c>
      <c r="R4" s="1084"/>
      <c r="S4" s="1084"/>
      <c r="T4" s="1084"/>
      <c r="U4" s="1084"/>
      <c r="V4" s="569" t="str">
        <f>Content!Y4</f>
        <v>?</v>
      </c>
      <c r="W4" s="569"/>
      <c r="X4" s="569"/>
      <c r="Y4" s="569"/>
      <c r="Z4" s="569"/>
      <c r="AA4" s="569"/>
      <c r="AB4" s="569"/>
      <c r="AC4" s="569"/>
      <c r="AD4" s="569"/>
      <c r="AE4" s="570"/>
    </row>
    <row r="5" spans="1:41" ht="13.5" thickBot="1">
      <c r="A5" s="1134" t="str">
        <f>'MAT Test'!A5</f>
        <v>SUPPLIER / VENDOR CODE:</v>
      </c>
      <c r="B5" s="1135"/>
      <c r="C5" s="1135"/>
      <c r="D5" s="1135"/>
      <c r="E5" s="1135"/>
      <c r="F5" s="1135"/>
      <c r="G5" s="1135"/>
      <c r="H5" s="1123" t="str">
        <f>'DIM Test'!I5</f>
        <v>?</v>
      </c>
      <c r="I5" s="1123"/>
      <c r="J5" s="1123"/>
      <c r="K5" s="1123"/>
      <c r="L5" s="1123"/>
      <c r="M5" s="1123"/>
      <c r="N5" s="1123"/>
      <c r="O5" s="1123"/>
      <c r="P5" s="1124"/>
      <c r="Q5" s="1076" t="str">
        <f>'MAT Test'!R5</f>
        <v>PART NAME:</v>
      </c>
      <c r="R5" s="1077"/>
      <c r="S5" s="1077"/>
      <c r="T5" s="1077"/>
      <c r="U5" s="1077"/>
      <c r="V5" s="1077"/>
      <c r="W5" s="536" t="str">
        <f>Content!Z5</f>
        <v>?</v>
      </c>
      <c r="X5" s="536"/>
      <c r="Y5" s="536"/>
      <c r="Z5" s="536"/>
      <c r="AA5" s="536"/>
      <c r="AB5" s="536"/>
      <c r="AC5" s="536"/>
      <c r="AD5" s="536"/>
      <c r="AE5" s="537"/>
    </row>
    <row r="6" spans="1:41">
      <c r="A6" s="369"/>
      <c r="B6" s="106"/>
      <c r="C6" s="106"/>
      <c r="D6" s="106"/>
      <c r="E6" s="106"/>
      <c r="F6" s="107"/>
      <c r="G6" s="107"/>
      <c r="H6" s="1099"/>
      <c r="I6" s="1099"/>
      <c r="J6" s="1099"/>
      <c r="K6" s="1099"/>
      <c r="L6" s="1099"/>
      <c r="M6" s="1099"/>
      <c r="N6" s="1099"/>
      <c r="O6" s="1099"/>
      <c r="P6" s="1100"/>
      <c r="Q6" s="1076" t="str">
        <f>'MAT Test'!R6</f>
        <v>DESIGN RECORD CHANGE LEVEL:</v>
      </c>
      <c r="R6" s="1077"/>
      <c r="S6" s="1077"/>
      <c r="T6" s="1077"/>
      <c r="U6" s="1077"/>
      <c r="V6" s="1077"/>
      <c r="W6" s="1077"/>
      <c r="X6" s="1077"/>
      <c r="Y6" s="1077"/>
      <c r="Z6" s="1077"/>
      <c r="AA6" s="1077"/>
      <c r="AB6" s="1077"/>
      <c r="AC6" s="1077"/>
      <c r="AD6" s="1077"/>
      <c r="AE6" s="1078"/>
    </row>
    <row r="7" spans="1:41">
      <c r="A7" s="108"/>
      <c r="B7" s="109"/>
      <c r="C7" s="109"/>
      <c r="D7" s="109"/>
      <c r="E7" s="109"/>
      <c r="F7" s="109"/>
      <c r="G7" s="109"/>
      <c r="H7" s="110"/>
      <c r="I7" s="110"/>
      <c r="J7" s="110"/>
      <c r="K7" s="110"/>
      <c r="L7" s="110"/>
      <c r="M7" s="1020"/>
      <c r="N7" s="1020"/>
      <c r="O7" s="1020"/>
      <c r="P7" s="1021"/>
      <c r="Q7" s="565" t="str">
        <f>'Checking Aids'!Q7:AD7</f>
        <v>?</v>
      </c>
      <c r="R7" s="599"/>
      <c r="S7" s="599"/>
      <c r="T7" s="599"/>
      <c r="U7" s="599"/>
      <c r="V7" s="599"/>
      <c r="W7" s="599"/>
      <c r="X7" s="599"/>
      <c r="Y7" s="599"/>
      <c r="Z7" s="599"/>
      <c r="AA7" s="599"/>
      <c r="AB7" s="599"/>
      <c r="AC7" s="599"/>
      <c r="AD7" s="599"/>
      <c r="AE7" s="600"/>
    </row>
    <row r="8" spans="1:41" ht="13.5" customHeight="1">
      <c r="A8" s="1095"/>
      <c r="B8" s="1096"/>
      <c r="C8" s="1096"/>
      <c r="D8" s="1096"/>
      <c r="E8" s="1096"/>
      <c r="F8" s="1096"/>
      <c r="G8" s="1096"/>
      <c r="H8" s="1096"/>
      <c r="I8" s="1096"/>
      <c r="J8" s="1096"/>
      <c r="K8" s="1096"/>
      <c r="L8" s="1096"/>
      <c r="M8" s="1096"/>
      <c r="N8" s="1096"/>
      <c r="O8" s="1096"/>
      <c r="P8" s="1097"/>
      <c r="Q8" s="1076" t="str">
        <f>'MAT Test'!R8</f>
        <v>ENGINEERING CHANGE DOCUMENTS:</v>
      </c>
      <c r="R8" s="1077"/>
      <c r="S8" s="1077"/>
      <c r="T8" s="1077"/>
      <c r="U8" s="1077"/>
      <c r="V8" s="1077"/>
      <c r="W8" s="1077"/>
      <c r="X8" s="1077"/>
      <c r="Y8" s="1077"/>
      <c r="Z8" s="1077"/>
      <c r="AA8" s="1077"/>
      <c r="AB8" s="1077"/>
      <c r="AC8" s="1077"/>
      <c r="AD8" s="1077"/>
      <c r="AE8" s="1078"/>
    </row>
    <row r="9" spans="1:41">
      <c r="A9" s="1095"/>
      <c r="B9" s="1096"/>
      <c r="C9" s="1096"/>
      <c r="D9" s="1096"/>
      <c r="E9" s="1096"/>
      <c r="F9" s="1096"/>
      <c r="G9" s="1096"/>
      <c r="H9" s="1096"/>
      <c r="I9" s="1096"/>
      <c r="J9" s="1096"/>
      <c r="K9" s="1096"/>
      <c r="L9" s="1096"/>
      <c r="M9" s="1096"/>
      <c r="N9" s="1096"/>
      <c r="O9" s="1096"/>
      <c r="P9" s="1097"/>
      <c r="Q9" s="565" t="str">
        <f>'Checking Aids'!Q9:AD9</f>
        <v>?</v>
      </c>
      <c r="R9" s="599"/>
      <c r="S9" s="599"/>
      <c r="T9" s="599"/>
      <c r="U9" s="599"/>
      <c r="V9" s="599"/>
      <c r="W9" s="599"/>
      <c r="X9" s="599"/>
      <c r="Y9" s="599"/>
      <c r="Z9" s="599"/>
      <c r="AA9" s="599"/>
      <c r="AB9" s="599"/>
      <c r="AC9" s="599"/>
      <c r="AD9" s="599"/>
      <c r="AE9" s="600"/>
    </row>
    <row r="10" spans="1:41" ht="3.75" customHeight="1" thickBot="1">
      <c r="A10" s="370"/>
      <c r="B10" s="371"/>
      <c r="C10" s="371"/>
      <c r="D10" s="371"/>
      <c r="E10" s="371"/>
      <c r="F10" s="371"/>
      <c r="G10" s="371"/>
      <c r="H10" s="371"/>
      <c r="I10" s="371"/>
      <c r="J10" s="371"/>
      <c r="K10" s="371"/>
      <c r="L10" s="371"/>
      <c r="M10" s="371"/>
      <c r="N10" s="371"/>
      <c r="O10" s="371"/>
      <c r="P10" s="372"/>
      <c r="Q10" s="413"/>
      <c r="R10" s="413"/>
      <c r="S10" s="413"/>
      <c r="T10" s="413"/>
      <c r="U10" s="413"/>
      <c r="V10" s="413"/>
      <c r="W10" s="413"/>
      <c r="X10" s="413"/>
      <c r="Y10" s="413"/>
      <c r="Z10" s="413"/>
      <c r="AA10" s="413"/>
      <c r="AB10" s="413"/>
      <c r="AC10" s="413"/>
      <c r="AD10" s="413"/>
      <c r="AE10" s="414"/>
    </row>
    <row r="11" spans="1:41" ht="19.5" customHeight="1" thickBot="1">
      <c r="A11" s="1167" t="str">
        <f>VLOOKUP("Qualitative evaluation",Translations!$A:$T,MATCH(PSW!AO7,Translations!A1:P1,0),0)</f>
        <v>Qualitative Evaluation</v>
      </c>
      <c r="B11" s="1168"/>
      <c r="C11" s="1168"/>
      <c r="D11" s="1168"/>
      <c r="E11" s="1168"/>
      <c r="F11" s="1168"/>
      <c r="G11" s="1168"/>
      <c r="H11" s="1168"/>
      <c r="I11" s="1168"/>
      <c r="J11" s="1168"/>
      <c r="K11" s="1168"/>
      <c r="L11" s="1168"/>
      <c r="M11" s="1168"/>
      <c r="N11" s="1168"/>
      <c r="O11" s="1168"/>
      <c r="P11" s="1168"/>
      <c r="Q11" s="1168"/>
      <c r="R11" s="1168"/>
      <c r="S11" s="1168"/>
      <c r="T11" s="1168"/>
      <c r="U11" s="1168"/>
      <c r="V11" s="1168"/>
      <c r="W11" s="1168"/>
      <c r="X11" s="1168"/>
      <c r="Y11" s="1168"/>
      <c r="Z11" s="1168"/>
      <c r="AA11" s="1168"/>
      <c r="AB11" s="1168"/>
      <c r="AC11" s="1168"/>
      <c r="AD11" s="1168"/>
      <c r="AE11" s="1169"/>
      <c r="AF11" s="349"/>
      <c r="AG11" s="349"/>
      <c r="AH11" s="349"/>
      <c r="AI11" s="349"/>
      <c r="AJ11" s="349"/>
      <c r="AK11" s="349"/>
      <c r="AL11" s="349"/>
      <c r="AM11" s="349"/>
      <c r="AN11" s="349"/>
      <c r="AO11" s="349"/>
    </row>
    <row r="12" spans="1:41" ht="6" customHeight="1">
      <c r="A12" s="279"/>
      <c r="B12" s="280"/>
      <c r="C12" s="280"/>
      <c r="D12" s="280"/>
      <c r="E12" s="280"/>
      <c r="F12" s="280"/>
      <c r="G12" s="280"/>
      <c r="H12" s="280"/>
      <c r="I12" s="280"/>
      <c r="J12" s="280"/>
      <c r="K12" s="280"/>
      <c r="L12" s="280"/>
      <c r="M12" s="280"/>
      <c r="N12" s="280"/>
      <c r="O12" s="280"/>
      <c r="P12" s="280"/>
      <c r="Q12" s="280"/>
      <c r="R12" s="91"/>
      <c r="S12" s="91"/>
      <c r="T12" s="91"/>
      <c r="U12" s="91"/>
      <c r="V12" s="91"/>
      <c r="W12" s="91"/>
      <c r="X12" s="91"/>
      <c r="Y12" s="91"/>
      <c r="Z12" s="91"/>
      <c r="AA12" s="91"/>
      <c r="AB12" s="350"/>
      <c r="AC12" s="350"/>
      <c r="AD12" s="350"/>
      <c r="AE12" s="351"/>
      <c r="AF12" s="350"/>
      <c r="AG12" s="350"/>
      <c r="AH12" s="350"/>
      <c r="AI12" s="350"/>
      <c r="AJ12" s="350"/>
      <c r="AK12" s="350"/>
      <c r="AL12" s="350"/>
      <c r="AM12" s="350"/>
      <c r="AN12" s="350"/>
      <c r="AO12" s="350"/>
    </row>
    <row r="13" spans="1:41" ht="15" customHeight="1">
      <c r="A13" s="279"/>
      <c r="B13" s="1170" t="str">
        <f>VLOOKUP("amount of parts manufactured during Run@Rate",Translations!$A:$T,MATCH(PSW!AO7,Translations!A1:P1,0),0)</f>
        <v>Amount of parts manufactured during the Run@Rate</v>
      </c>
      <c r="C13" s="1170"/>
      <c r="D13" s="1170"/>
      <c r="E13" s="1170"/>
      <c r="F13" s="1170"/>
      <c r="G13" s="1170"/>
      <c r="H13" s="1170"/>
      <c r="I13" s="1170"/>
      <c r="J13" s="1170"/>
      <c r="K13" s="1170"/>
      <c r="L13" s="1170"/>
      <c r="M13" s="1170"/>
      <c r="N13" s="91"/>
      <c r="O13" s="282"/>
      <c r="P13" s="1173" t="s">
        <v>365</v>
      </c>
      <c r="Q13" s="1174"/>
      <c r="R13" s="1174"/>
      <c r="S13" s="1175"/>
      <c r="T13" s="392"/>
      <c r="U13" s="1142" t="str">
        <f>VLOOKUP("pc",Translations!$A:$T,MATCH(PSW!AO7,Translations!A1:P1,0),0)</f>
        <v>pieces</v>
      </c>
      <c r="V13" s="1142"/>
      <c r="W13" s="1142"/>
      <c r="X13" s="91"/>
      <c r="Y13" s="91"/>
      <c r="Z13" s="91"/>
      <c r="AA13" s="91"/>
      <c r="AB13" s="91"/>
      <c r="AC13" s="91"/>
      <c r="AD13" s="283"/>
      <c r="AE13" s="284"/>
      <c r="AF13" s="283"/>
      <c r="AG13" s="283"/>
      <c r="AH13" s="283"/>
      <c r="AI13" s="283"/>
      <c r="AJ13" s="283"/>
      <c r="AK13" s="283"/>
      <c r="AL13" s="283"/>
      <c r="AM13" s="283"/>
      <c r="AN13" s="283"/>
      <c r="AO13" s="283"/>
    </row>
    <row r="14" spans="1:41" ht="5.25" customHeight="1">
      <c r="A14" s="279"/>
      <c r="B14" s="363"/>
      <c r="C14" s="362"/>
      <c r="D14" s="362"/>
      <c r="E14" s="362"/>
      <c r="F14" s="362"/>
      <c r="G14" s="362"/>
      <c r="H14" s="362"/>
      <c r="I14" s="362"/>
      <c r="J14" s="362"/>
      <c r="K14" s="363"/>
      <c r="L14" s="362"/>
      <c r="M14" s="285"/>
      <c r="N14" s="285"/>
      <c r="O14" s="285"/>
      <c r="P14" s="285"/>
      <c r="Q14" s="285"/>
      <c r="R14" s="286"/>
      <c r="S14" s="286"/>
      <c r="T14" s="91"/>
      <c r="U14" s="91"/>
      <c r="V14" s="365"/>
      <c r="W14" s="365"/>
      <c r="X14" s="286"/>
      <c r="Y14" s="91"/>
      <c r="Z14" s="91"/>
      <c r="AA14" s="91"/>
      <c r="AB14" s="283"/>
      <c r="AC14" s="283"/>
      <c r="AD14" s="283"/>
      <c r="AE14" s="284"/>
      <c r="AF14" s="283"/>
      <c r="AG14" s="283"/>
      <c r="AH14" s="283"/>
      <c r="AI14" s="283"/>
      <c r="AJ14" s="283"/>
      <c r="AK14" s="283"/>
      <c r="AL14" s="283"/>
      <c r="AM14" s="283"/>
      <c r="AN14" s="283"/>
      <c r="AO14" s="283"/>
    </row>
    <row r="15" spans="1:41" ht="15" customHeight="1" thickBot="1">
      <c r="A15" s="287"/>
      <c r="B15" s="1166" t="str">
        <f>VLOOKUP("Amount of n.O.K. parts",Translations!$A:$T,MATCH(PSW!AO7,Translations!A1:P1,0),0)</f>
        <v>Amount of n.O.K. parts</v>
      </c>
      <c r="C15" s="1166"/>
      <c r="D15" s="1166"/>
      <c r="E15" s="1166"/>
      <c r="F15" s="1166"/>
      <c r="G15" s="1166"/>
      <c r="H15" s="1166"/>
      <c r="I15" s="1166"/>
      <c r="J15" s="1166"/>
      <c r="K15" s="1166"/>
      <c r="L15" s="1166"/>
      <c r="M15" s="1166"/>
      <c r="N15" s="1166"/>
      <c r="O15" s="91"/>
      <c r="P15" s="91"/>
      <c r="Q15" s="1172" t="e">
        <f>Q17+Q19+Q21</f>
        <v>#VALUE!</v>
      </c>
      <c r="R15" s="1172"/>
      <c r="S15" s="1172"/>
      <c r="T15" s="367"/>
      <c r="U15" s="1151" t="str">
        <f>VLOOKUP("pc",Translations!$A:$T,MATCH(PSW!AO7,Translations!A1:P1,0),0)</f>
        <v>pieces</v>
      </c>
      <c r="V15" s="1151"/>
      <c r="W15" s="1151"/>
      <c r="X15" s="91"/>
      <c r="Y15" s="5"/>
      <c r="Z15" s="5"/>
      <c r="AA15" s="91"/>
      <c r="AB15" s="283"/>
      <c r="AC15" s="283"/>
      <c r="AD15" s="283"/>
      <c r="AE15" s="284"/>
      <c r="AF15" s="283"/>
      <c r="AG15" s="283"/>
      <c r="AH15" s="283"/>
      <c r="AI15" s="283"/>
      <c r="AJ15" s="283"/>
      <c r="AK15" s="283"/>
      <c r="AL15" s="283"/>
      <c r="AM15" s="283"/>
      <c r="AN15" s="283"/>
      <c r="AO15" s="283"/>
    </row>
    <row r="16" spans="1:41" ht="6" customHeight="1" thickTop="1">
      <c r="A16" s="287"/>
      <c r="B16" s="362"/>
      <c r="C16" s="362"/>
      <c r="D16" s="362"/>
      <c r="E16" s="362"/>
      <c r="F16" s="362"/>
      <c r="G16" s="362"/>
      <c r="H16" s="362"/>
      <c r="I16" s="362"/>
      <c r="J16" s="362"/>
      <c r="L16" s="290"/>
      <c r="M16" s="290"/>
      <c r="N16" s="290"/>
      <c r="O16" s="91"/>
      <c r="P16" s="91"/>
      <c r="Q16" s="91"/>
      <c r="R16" s="291"/>
      <c r="S16" s="291"/>
      <c r="T16" s="291"/>
      <c r="U16" s="291"/>
      <c r="V16" s="292"/>
      <c r="W16" s="87"/>
      <c r="X16" s="91"/>
      <c r="Y16" s="91"/>
      <c r="Z16" s="91"/>
      <c r="AA16" s="91"/>
      <c r="AB16" s="283"/>
      <c r="AC16" s="283"/>
      <c r="AD16" s="283"/>
      <c r="AE16" s="284"/>
      <c r="AF16" s="283"/>
      <c r="AG16" s="283"/>
      <c r="AH16" s="283"/>
      <c r="AI16" s="283"/>
      <c r="AJ16" s="283"/>
      <c r="AK16" s="283"/>
      <c r="AL16" s="283"/>
      <c r="AM16" s="283"/>
      <c r="AN16" s="283"/>
      <c r="AO16" s="283"/>
    </row>
    <row r="17" spans="1:41" ht="15" customHeight="1" thickBot="1">
      <c r="A17" s="293"/>
      <c r="B17" s="281"/>
      <c r="C17" s="1164" t="str">
        <f>VLOOKUP("n.O.K. - visual check not according to drawing / border samples",Translations!$A:$T,MATCH(PSW!AO7,Translations!A1:P1,0),0)</f>
        <v>nOK - visual check not according to drawing / border samples</v>
      </c>
      <c r="D17" s="1164"/>
      <c r="E17" s="1164"/>
      <c r="F17" s="1164"/>
      <c r="G17" s="1164"/>
      <c r="H17" s="1164"/>
      <c r="I17" s="1164"/>
      <c r="J17" s="1164"/>
      <c r="K17" s="1164"/>
      <c r="L17" s="1164"/>
      <c r="M17" s="1164"/>
      <c r="N17" s="1164"/>
      <c r="O17" s="1164"/>
      <c r="P17" s="1165"/>
      <c r="Q17" s="1153" t="s">
        <v>365</v>
      </c>
      <c r="R17" s="1154"/>
      <c r="S17" s="1155"/>
      <c r="T17" s="393"/>
      <c r="U17" s="1142" t="str">
        <f>VLOOKUP("pc",Translations!$A:$T,MATCH(PSW!AO7,Translations!A1:P1,0),0)</f>
        <v>pieces</v>
      </c>
      <c r="V17" s="1142"/>
      <c r="W17" s="1142"/>
      <c r="X17" s="87"/>
      <c r="Y17" s="1171" t="e">
        <f>(Q17/P13)*100</f>
        <v>#VALUE!</v>
      </c>
      <c r="Z17" s="1171"/>
      <c r="AA17" s="373" t="s">
        <v>910</v>
      </c>
      <c r="AB17" s="91"/>
      <c r="AC17" s="91"/>
      <c r="AD17" s="91"/>
      <c r="AE17" s="317"/>
      <c r="AF17" s="241"/>
      <c r="AG17" s="283"/>
      <c r="AH17" s="283"/>
      <c r="AI17" s="283"/>
      <c r="AJ17" s="283"/>
      <c r="AK17" s="283"/>
      <c r="AL17" s="283"/>
      <c r="AM17" s="283"/>
      <c r="AN17" s="283"/>
      <c r="AO17" s="283"/>
    </row>
    <row r="18" spans="1:41" ht="6" customHeight="1" thickTop="1">
      <c r="A18" s="293"/>
      <c r="B18" s="281"/>
      <c r="C18" s="289"/>
      <c r="D18" s="294"/>
      <c r="Q18" s="91"/>
      <c r="R18" s="291"/>
      <c r="S18" s="291"/>
      <c r="T18" s="368"/>
      <c r="U18" s="291"/>
      <c r="V18" s="295"/>
      <c r="W18" s="296"/>
      <c r="X18" s="87"/>
      <c r="Y18" s="87"/>
      <c r="Z18" s="87"/>
      <c r="AA18" s="87"/>
      <c r="AB18" s="283"/>
      <c r="AC18" s="283"/>
      <c r="AD18" s="283"/>
      <c r="AE18" s="284"/>
      <c r="AF18" s="283"/>
      <c r="AG18" s="283"/>
      <c r="AH18" s="283"/>
      <c r="AI18" s="283"/>
      <c r="AJ18" s="283"/>
      <c r="AK18" s="283"/>
      <c r="AL18" s="283"/>
      <c r="AM18" s="283"/>
      <c r="AN18" s="283"/>
      <c r="AO18" s="283"/>
    </row>
    <row r="19" spans="1:41" ht="15" customHeight="1" thickBot="1">
      <c r="A19" s="293"/>
      <c r="B19" s="281"/>
      <c r="C19" s="1164" t="str">
        <f>VLOOKUP("n.o.k. - dimensional / material not according to drawing",Translations!$A:$T,MATCH(PSW!AO7,Translations!A1:P1,0),0)</f>
        <v>nOK - dimensional / material not according to drawing</v>
      </c>
      <c r="D19" s="1164"/>
      <c r="E19" s="1164"/>
      <c r="F19" s="1164"/>
      <c r="G19" s="1164"/>
      <c r="H19" s="1164"/>
      <c r="I19" s="1164"/>
      <c r="J19" s="1164"/>
      <c r="K19" s="1164"/>
      <c r="L19" s="1164"/>
      <c r="M19" s="1164"/>
      <c r="N19" s="1164"/>
      <c r="O19" s="1164"/>
      <c r="P19" s="1165"/>
      <c r="Q19" s="1153" t="s">
        <v>365</v>
      </c>
      <c r="R19" s="1154"/>
      <c r="S19" s="1155"/>
      <c r="T19" s="393"/>
      <c r="U19" s="1142" t="str">
        <f>VLOOKUP("pc",Translations!$A:$T,MATCH(PSW!AO7,Translations!A1:P1,0),0)</f>
        <v>pieces</v>
      </c>
      <c r="V19" s="1142"/>
      <c r="W19" s="1142"/>
      <c r="X19" s="377"/>
      <c r="Y19" s="1171" t="e">
        <f>(Q19/P13)*100</f>
        <v>#VALUE!</v>
      </c>
      <c r="Z19" s="1171"/>
      <c r="AA19" s="373" t="s">
        <v>910</v>
      </c>
      <c r="AB19" s="283"/>
      <c r="AC19" s="283"/>
      <c r="AD19" s="283"/>
      <c r="AE19" s="284"/>
      <c r="AF19" s="283"/>
      <c r="AG19" s="283"/>
      <c r="AH19" s="283"/>
      <c r="AI19" s="283"/>
      <c r="AJ19" s="283"/>
      <c r="AK19" s="283"/>
      <c r="AL19" s="283"/>
      <c r="AM19" s="283"/>
      <c r="AN19" s="283"/>
      <c r="AO19" s="283"/>
    </row>
    <row r="20" spans="1:41" ht="6" customHeight="1" thickTop="1">
      <c r="A20" s="293"/>
      <c r="B20" s="281"/>
      <c r="C20" s="289"/>
      <c r="D20" s="294"/>
      <c r="Q20" s="91"/>
      <c r="R20" s="291"/>
      <c r="S20" s="291"/>
      <c r="T20" s="368"/>
      <c r="U20" s="291"/>
      <c r="V20" s="295"/>
      <c r="W20" s="296"/>
      <c r="X20" s="87"/>
      <c r="Y20" s="87"/>
      <c r="Z20" s="87"/>
      <c r="AA20" s="87"/>
      <c r="AB20" s="283"/>
      <c r="AC20" s="283"/>
      <c r="AD20" s="283"/>
      <c r="AE20" s="284"/>
      <c r="AF20" s="283"/>
      <c r="AG20" s="283"/>
      <c r="AH20" s="283"/>
      <c r="AI20" s="283"/>
      <c r="AJ20" s="283"/>
      <c r="AK20" s="283"/>
      <c r="AL20" s="283"/>
      <c r="AM20" s="283"/>
      <c r="AN20" s="283"/>
      <c r="AO20" s="283"/>
    </row>
    <row r="21" spans="1:41" ht="15" customHeight="1" thickBot="1">
      <c r="A21" s="293"/>
      <c r="B21" s="281"/>
      <c r="C21" s="1164" t="str">
        <f>VLOOKUP("n.o.k. - function not according to drawing / process verifification plan",Translations!$A:$T,MATCH(PSW!AO7,Translations!A1:P1,0),0)</f>
        <v>nOK - function not according to drawing / process verification plan</v>
      </c>
      <c r="D21" s="1164"/>
      <c r="E21" s="1164"/>
      <c r="F21" s="1164"/>
      <c r="G21" s="1164"/>
      <c r="H21" s="1164"/>
      <c r="I21" s="1164"/>
      <c r="J21" s="1164"/>
      <c r="K21" s="1164"/>
      <c r="L21" s="1164"/>
      <c r="M21" s="1164"/>
      <c r="N21" s="1164"/>
      <c r="O21" s="1164"/>
      <c r="P21" s="1165"/>
      <c r="Q21" s="1153" t="s">
        <v>365</v>
      </c>
      <c r="R21" s="1154"/>
      <c r="S21" s="1155"/>
      <c r="T21" s="393"/>
      <c r="U21" s="1142" t="str">
        <f>VLOOKUP("pc",Translations!$A:$T,MATCH(PSW!AO7,Translations!A1:P1,0),0)</f>
        <v>pieces</v>
      </c>
      <c r="V21" s="1142"/>
      <c r="W21" s="1142"/>
      <c r="X21" s="297"/>
      <c r="Y21" s="1171" t="e">
        <f>(Q21/P13)*100</f>
        <v>#VALUE!</v>
      </c>
      <c r="Z21" s="1171"/>
      <c r="AA21" s="373" t="s">
        <v>910</v>
      </c>
      <c r="AB21" s="283"/>
      <c r="AC21" s="283"/>
      <c r="AD21" s="283"/>
      <c r="AE21" s="284"/>
      <c r="AF21" s="283"/>
      <c r="AG21" s="283"/>
      <c r="AH21" s="283"/>
      <c r="AI21" s="283"/>
      <c r="AJ21" s="283"/>
      <c r="AK21" s="283"/>
      <c r="AL21" s="283"/>
      <c r="AM21" s="283"/>
      <c r="AN21" s="283"/>
      <c r="AO21" s="283"/>
    </row>
    <row r="22" spans="1:41" ht="12.75" customHeight="1" thickTop="1">
      <c r="A22" s="293"/>
      <c r="B22" s="366"/>
      <c r="C22" s="299"/>
      <c r="D22" s="364"/>
      <c r="E22" s="285"/>
      <c r="F22" s="285"/>
      <c r="G22" s="285"/>
      <c r="H22" s="285"/>
      <c r="I22" s="285"/>
      <c r="J22" s="285"/>
      <c r="K22" s="285"/>
      <c r="L22" s="285"/>
      <c r="M22" s="285"/>
      <c r="N22" s="285"/>
      <c r="O22" s="285"/>
      <c r="P22" s="285"/>
      <c r="Q22" s="285"/>
      <c r="R22" s="365"/>
      <c r="S22" s="286"/>
      <c r="T22" s="91"/>
      <c r="U22" s="91"/>
      <c r="V22" s="91"/>
      <c r="W22" s="91"/>
      <c r="X22" s="91"/>
      <c r="Y22" s="91"/>
      <c r="Z22" s="91"/>
      <c r="AA22" s="91"/>
      <c r="AB22" s="283"/>
      <c r="AC22" s="283"/>
      <c r="AD22" s="283"/>
      <c r="AE22" s="284"/>
      <c r="AF22" s="283"/>
      <c r="AG22" s="283"/>
      <c r="AH22" s="283"/>
      <c r="AI22" s="283"/>
      <c r="AJ22" s="283"/>
      <c r="AK22" s="283"/>
      <c r="AL22" s="283"/>
      <c r="AM22" s="283"/>
      <c r="AN22" s="283"/>
      <c r="AO22" s="283"/>
    </row>
    <row r="23" spans="1:41" ht="15" customHeight="1" thickBot="1">
      <c r="A23" s="287"/>
      <c r="B23" s="1179" t="str">
        <f>VLOOKUP("Actual scrap",Translations!$A:$T,MATCH(PSW!AO7,Translations!A1:P1,0),0)</f>
        <v>Actual scrap</v>
      </c>
      <c r="C23" s="1179"/>
      <c r="D23" s="1179"/>
      <c r="E23" s="1179"/>
      <c r="F23" s="1179"/>
      <c r="G23" s="290"/>
      <c r="H23" s="290"/>
      <c r="L23" s="1221" t="e">
        <f>Q15-L27</f>
        <v>#VALUE!</v>
      </c>
      <c r="M23" s="1221"/>
      <c r="N23" s="1219" t="str">
        <f>VLOOKUP("pc",Translations!$A:$T,MATCH(PSW!AO7,Translations!A1:P1,0),0)</f>
        <v>pieces</v>
      </c>
      <c r="O23" s="1219"/>
      <c r="P23" s="1222" t="e">
        <f>(L23/P13)*100</f>
        <v>#VALUE!</v>
      </c>
      <c r="Q23" s="1222"/>
      <c r="R23" s="1151" t="s">
        <v>910</v>
      </c>
      <c r="S23" s="1151"/>
      <c r="T23" s="378"/>
      <c r="U23" s="298"/>
      <c r="V23" s="298"/>
      <c r="W23" s="298"/>
      <c r="X23" s="298"/>
      <c r="Y23" s="298"/>
      <c r="Z23" s="298"/>
      <c r="AA23" s="298"/>
      <c r="AB23" s="283"/>
      <c r="AC23" s="283"/>
      <c r="AD23" s="283"/>
      <c r="AE23" s="284"/>
      <c r="AF23" s="283"/>
      <c r="AG23" s="283"/>
    </row>
    <row r="24" spans="1:41" ht="12.75" customHeight="1" thickTop="1">
      <c r="A24" s="287"/>
      <c r="B24" s="366"/>
      <c r="C24" s="299"/>
      <c r="D24" s="285"/>
      <c r="E24" s="285"/>
      <c r="F24" s="285"/>
      <c r="G24" s="285"/>
      <c r="H24" s="285"/>
      <c r="L24" s="300"/>
      <c r="M24" s="300"/>
      <c r="N24" s="301"/>
      <c r="O24" s="301"/>
      <c r="P24" s="300"/>
      <c r="Q24" s="300"/>
      <c r="R24" s="300"/>
      <c r="S24" s="87"/>
      <c r="T24" s="87"/>
      <c r="AC24" s="283"/>
      <c r="AD24" s="283"/>
      <c r="AE24" s="284"/>
      <c r="AF24" s="283"/>
      <c r="AG24" s="283"/>
    </row>
    <row r="25" spans="1:41" ht="15" customHeight="1" thickBot="1">
      <c r="A25" s="287"/>
      <c r="B25" s="1180" t="str">
        <f>VLOOKUP("Estimated scrap
(estimated by supplier)",Translations!$A:$T,MATCH(PSW!AO7,Translations!A1:P1,0),0)</f>
        <v>Estimated scrap
(estimated by supplier)</v>
      </c>
      <c r="C25" s="1180"/>
      <c r="D25" s="1180"/>
      <c r="E25" s="1180"/>
      <c r="F25" s="1180"/>
      <c r="G25" s="1180"/>
      <c r="H25" s="1180"/>
      <c r="I25" s="5"/>
      <c r="J25" s="5"/>
      <c r="K25" s="5"/>
      <c r="L25" s="1172" t="e">
        <f>P13*P25/100</f>
        <v>#VALUE!</v>
      </c>
      <c r="M25" s="1172"/>
      <c r="N25" s="1219" t="str">
        <f>VLOOKUP("pc",Translations!$A:$T,MATCH(PSW!AO7,Translations!A1:P1,0),0)</f>
        <v>pieces</v>
      </c>
      <c r="O25" s="1219"/>
      <c r="P25" s="1194" t="s">
        <v>365</v>
      </c>
      <c r="Q25" s="1196"/>
      <c r="R25" s="1193" t="s">
        <v>910</v>
      </c>
      <c r="S25" s="1142"/>
      <c r="T25" s="378"/>
      <c r="AC25" s="283"/>
      <c r="AD25" s="283"/>
      <c r="AE25" s="284"/>
      <c r="AF25" s="283"/>
      <c r="AG25" s="283"/>
    </row>
    <row r="26" spans="1:41" ht="12.75" customHeight="1" thickTop="1">
      <c r="A26" s="287"/>
      <c r="B26" s="1181"/>
      <c r="C26" s="1181"/>
      <c r="D26" s="1181"/>
      <c r="E26" s="1181"/>
      <c r="F26" s="1181"/>
      <c r="G26" s="1181"/>
      <c r="H26" s="1181"/>
      <c r="I26" s="365"/>
      <c r="J26" s="365"/>
      <c r="K26" s="365"/>
      <c r="L26" s="300"/>
      <c r="M26" s="300"/>
      <c r="N26" s="301"/>
      <c r="O26" s="301"/>
      <c r="P26" s="300"/>
      <c r="Q26" s="300"/>
      <c r="R26" s="300"/>
      <c r="S26" s="31"/>
      <c r="T26" s="31"/>
      <c r="U26" s="91"/>
      <c r="V26" s="91"/>
      <c r="W26" s="91"/>
      <c r="X26" s="91"/>
      <c r="Y26" s="91"/>
      <c r="Z26" s="91"/>
      <c r="AA26" s="91"/>
      <c r="AB26" s="283"/>
      <c r="AC26" s="283"/>
      <c r="AD26" s="283"/>
      <c r="AE26" s="284"/>
      <c r="AF26" s="283"/>
      <c r="AG26" s="283"/>
    </row>
    <row r="27" spans="1:41" ht="15" customHeight="1" thickBot="1">
      <c r="A27" s="303"/>
      <c r="B27" s="1182" t="str">
        <f>VLOOKUP("Amount of rework parts",Translations!$A:$T,MATCH(PSW!AO7,Translations!A1:P1,0),0)</f>
        <v>Amount of rework parts</v>
      </c>
      <c r="C27" s="1182"/>
      <c r="D27" s="1182"/>
      <c r="E27" s="1182"/>
      <c r="F27" s="1182"/>
      <c r="G27" s="1182"/>
      <c r="H27" s="1182"/>
      <c r="I27" s="5"/>
      <c r="L27" s="1153" t="s">
        <v>365</v>
      </c>
      <c r="M27" s="1155"/>
      <c r="N27" s="305"/>
      <c r="O27" s="305"/>
      <c r="P27" s="1218" t="e">
        <f>(L27/P13)*100</f>
        <v>#VALUE!</v>
      </c>
      <c r="Q27" s="1218"/>
      <c r="R27" s="1142" t="s">
        <v>911</v>
      </c>
      <c r="S27" s="1142"/>
      <c r="T27" s="378"/>
      <c r="U27" s="5"/>
      <c r="V27" s="5"/>
      <c r="W27" s="91"/>
      <c r="X27" s="91"/>
      <c r="Y27" s="91"/>
      <c r="Z27" s="91"/>
      <c r="AA27" s="91"/>
      <c r="AB27" s="283"/>
      <c r="AC27" s="283"/>
      <c r="AD27" s="283"/>
      <c r="AE27" s="284"/>
      <c r="AF27" s="283"/>
      <c r="AG27" s="283"/>
    </row>
    <row r="28" spans="1:41" ht="12.75" customHeight="1" thickTop="1">
      <c r="A28" s="287"/>
      <c r="B28" s="366"/>
      <c r="C28" s="306"/>
      <c r="D28" s="285"/>
      <c r="E28" s="285"/>
      <c r="F28" s="285"/>
      <c r="G28" s="285"/>
      <c r="H28" s="285"/>
      <c r="I28" s="365"/>
      <c r="J28" s="365"/>
      <c r="K28" s="365"/>
      <c r="L28" s="300"/>
      <c r="M28" s="300"/>
      <c r="N28" s="301"/>
      <c r="O28" s="301"/>
      <c r="P28" s="300"/>
      <c r="Q28" s="300"/>
      <c r="R28" s="300"/>
      <c r="S28" s="31"/>
      <c r="T28" s="31"/>
      <c r="U28" s="5"/>
      <c r="V28" s="5"/>
      <c r="W28" s="91"/>
      <c r="X28" s="91"/>
      <c r="Y28" s="91"/>
      <c r="Z28" s="91"/>
      <c r="AA28" s="91"/>
      <c r="AB28" s="283"/>
      <c r="AC28" s="283"/>
      <c r="AD28" s="283"/>
      <c r="AE28" s="284"/>
      <c r="AF28" s="283"/>
      <c r="AG28" s="283"/>
    </row>
    <row r="29" spans="1:41" ht="12.75" customHeight="1" thickBot="1">
      <c r="A29" s="287"/>
      <c r="B29" s="1160" t="str">
        <f>VLOOKUP("first time quality (ftq)
(amount of i.o. parts without rework)",Translations!$A:$T,MATCH(PSW!AO7,Translations!A1:P1,0),0)</f>
        <v>First Time Quality (FTQ)
(Amount of OK parts without rework)</v>
      </c>
      <c r="C29" s="1160"/>
      <c r="D29" s="1160"/>
      <c r="E29" s="1160"/>
      <c r="F29" s="1160"/>
      <c r="G29" s="1160"/>
      <c r="H29" s="1160"/>
      <c r="I29" s="1160"/>
      <c r="L29" s="1172" t="e">
        <f>P13-Q15</f>
        <v>#VALUE!</v>
      </c>
      <c r="M29" s="1172"/>
      <c r="N29" s="1219" t="str">
        <f>VLOOKUP("pc",Translations!$A:$T,MATCH(PSW!AO7,Translations!A1:P1,0),0)</f>
        <v>pieces</v>
      </c>
      <c r="O29" s="1219"/>
      <c r="P29" s="1220" t="e">
        <f>(L29/P13)*100</f>
        <v>#VALUE!</v>
      </c>
      <c r="Q29" s="1220"/>
      <c r="R29" s="1142" t="s">
        <v>910</v>
      </c>
      <c r="S29" s="1142"/>
      <c r="T29" s="373"/>
      <c r="U29" s="5"/>
      <c r="V29" s="5"/>
      <c r="W29" s="91"/>
      <c r="X29" s="91"/>
      <c r="Y29" s="91"/>
      <c r="Z29" s="91"/>
      <c r="AA29" s="91"/>
      <c r="AB29" s="283"/>
      <c r="AC29" s="283"/>
      <c r="AD29" s="283"/>
      <c r="AE29" s="284"/>
      <c r="AF29" s="283"/>
      <c r="AG29" s="283"/>
    </row>
    <row r="30" spans="1:41" ht="12.75" customHeight="1" thickTop="1">
      <c r="A30" s="287"/>
      <c r="B30" s="1160"/>
      <c r="C30" s="1160"/>
      <c r="D30" s="1160"/>
      <c r="E30" s="1160"/>
      <c r="F30" s="1160"/>
      <c r="G30" s="1160"/>
      <c r="H30" s="1160"/>
      <c r="I30" s="1160"/>
      <c r="L30" s="290"/>
      <c r="M30" s="290"/>
      <c r="N30" s="290"/>
      <c r="O30" s="290"/>
      <c r="P30" s="290"/>
      <c r="Q30" s="290"/>
      <c r="R30" s="290"/>
      <c r="S30" s="5"/>
      <c r="T30" s="5"/>
      <c r="U30" s="5"/>
      <c r="V30" s="5"/>
      <c r="W30" s="91"/>
      <c r="X30" s="91"/>
      <c r="Y30" s="91"/>
      <c r="Z30" s="91"/>
      <c r="AA30" s="91"/>
      <c r="AB30" s="283"/>
      <c r="AC30" s="283"/>
      <c r="AD30" s="283"/>
      <c r="AE30" s="284"/>
      <c r="AF30" s="283"/>
      <c r="AG30" s="283"/>
    </row>
    <row r="31" spans="1:41" ht="6" customHeight="1" thickBot="1">
      <c r="A31" s="287"/>
      <c r="B31" s="281"/>
      <c r="C31" s="294"/>
      <c r="D31" s="308"/>
      <c r="E31" s="308"/>
      <c r="F31" s="308"/>
      <c r="G31" s="308"/>
      <c r="H31" s="308"/>
      <c r="I31" s="308"/>
      <c r="J31" s="294"/>
      <c r="K31" s="294"/>
      <c r="L31" s="294"/>
      <c r="M31" s="294"/>
      <c r="N31" s="309"/>
      <c r="O31" s="302"/>
      <c r="P31" s="5"/>
      <c r="Q31" s="5"/>
      <c r="R31" s="5"/>
      <c r="S31" s="5"/>
      <c r="T31" s="5"/>
      <c r="U31" s="5"/>
      <c r="V31" s="5"/>
      <c r="W31" s="310"/>
      <c r="X31" s="310"/>
      <c r="Y31" s="310"/>
      <c r="Z31" s="311"/>
      <c r="AA31" s="311"/>
      <c r="AB31" s="311"/>
      <c r="AC31" s="311"/>
      <c r="AD31" s="311"/>
      <c r="AE31" s="312"/>
      <c r="AF31" s="311"/>
      <c r="AG31" s="311"/>
      <c r="AH31" s="311"/>
      <c r="AI31" s="311"/>
      <c r="AJ31" s="311"/>
      <c r="AK31" s="311"/>
      <c r="AL31" s="311"/>
      <c r="AM31" s="311"/>
      <c r="AN31" s="311"/>
      <c r="AO31" s="311"/>
    </row>
    <row r="32" spans="1:41" ht="19.5" customHeight="1" thickBot="1">
      <c r="A32" s="1167" t="str">
        <f>VLOOKUP("Quantitative Evaluation (for Bottleneck)",Translations!$A:$T,MATCH(PSW!AO7,Translations!A1:P1,0),0)</f>
        <v>Quantitative Evaluation (for bottleneck process)</v>
      </c>
      <c r="B32" s="1168"/>
      <c r="C32" s="1168"/>
      <c r="D32" s="1168"/>
      <c r="E32" s="1168"/>
      <c r="F32" s="1168"/>
      <c r="G32" s="1168"/>
      <c r="H32" s="1168"/>
      <c r="I32" s="1168"/>
      <c r="J32" s="1168"/>
      <c r="K32" s="1168"/>
      <c r="L32" s="1168"/>
      <c r="M32" s="1168"/>
      <c r="N32" s="1168"/>
      <c r="O32" s="1168"/>
      <c r="P32" s="1168"/>
      <c r="Q32" s="1168"/>
      <c r="R32" s="1168"/>
      <c r="S32" s="1168"/>
      <c r="T32" s="1168"/>
      <c r="U32" s="1168"/>
      <c r="V32" s="1168"/>
      <c r="W32" s="1168"/>
      <c r="X32" s="1168"/>
      <c r="Y32" s="1168"/>
      <c r="Z32" s="1168"/>
      <c r="AA32" s="1168"/>
      <c r="AB32" s="1168"/>
      <c r="AC32" s="1168"/>
      <c r="AD32" s="1168"/>
      <c r="AE32" s="1169"/>
      <c r="AF32" s="352"/>
      <c r="AG32" s="352"/>
      <c r="AH32" s="352"/>
      <c r="AI32" s="352"/>
      <c r="AJ32" s="352"/>
      <c r="AK32" s="352"/>
      <c r="AL32" s="352"/>
      <c r="AM32" s="352"/>
      <c r="AN32" s="352"/>
      <c r="AO32" s="352"/>
    </row>
    <row r="33" spans="1:41" ht="6" customHeight="1">
      <c r="A33" s="313"/>
      <c r="B33" s="314"/>
      <c r="C33" s="314"/>
      <c r="D33" s="314"/>
      <c r="E33" s="314"/>
      <c r="F33" s="314"/>
      <c r="G33" s="314"/>
      <c r="H33" s="315"/>
      <c r="I33" s="316"/>
      <c r="J33" s="316"/>
      <c r="K33" s="316"/>
      <c r="L33" s="316"/>
      <c r="M33" s="316"/>
      <c r="N33" s="316"/>
      <c r="O33" s="316"/>
      <c r="P33" s="316"/>
      <c r="Q33" s="316"/>
      <c r="R33" s="316"/>
      <c r="S33" s="316"/>
      <c r="T33" s="316"/>
      <c r="U33" s="316"/>
      <c r="V33" s="316"/>
      <c r="W33" s="316"/>
      <c r="X33" s="316"/>
      <c r="Y33" s="91"/>
      <c r="Z33" s="91"/>
      <c r="AA33" s="91"/>
      <c r="AB33" s="91"/>
      <c r="AC33" s="91"/>
      <c r="AD33" s="91"/>
      <c r="AE33" s="317"/>
      <c r="AF33" s="241"/>
      <c r="AG33" s="241"/>
      <c r="AH33" s="241"/>
      <c r="AI33" s="241"/>
      <c r="AJ33" s="241"/>
      <c r="AK33" s="241"/>
      <c r="AL33" s="241"/>
      <c r="AM33" s="241"/>
      <c r="AN33" s="241"/>
      <c r="AO33" s="241"/>
    </row>
    <row r="34" spans="1:41" ht="6" customHeight="1">
      <c r="A34" s="318"/>
      <c r="B34" s="304"/>
      <c r="C34" s="304"/>
      <c r="D34" s="304"/>
      <c r="E34" s="304"/>
      <c r="F34" s="304"/>
      <c r="G34" s="304"/>
      <c r="H34" s="304"/>
      <c r="I34" s="304"/>
      <c r="J34" s="304"/>
      <c r="K34" s="304"/>
      <c r="L34" s="304"/>
      <c r="M34" s="304"/>
      <c r="N34" s="304"/>
      <c r="O34" s="304"/>
      <c r="P34" s="304"/>
      <c r="Q34" s="304"/>
      <c r="R34" s="304"/>
      <c r="S34" s="304"/>
      <c r="T34" s="304"/>
      <c r="U34" s="304"/>
      <c r="V34" s="91"/>
      <c r="W34" s="319"/>
      <c r="X34" s="319"/>
      <c r="Y34" s="91"/>
      <c r="Z34" s="91"/>
      <c r="AA34" s="91"/>
      <c r="AB34" s="91"/>
      <c r="AC34" s="91"/>
      <c r="AD34" s="91"/>
      <c r="AE34" s="317"/>
      <c r="AF34" s="241"/>
      <c r="AG34" s="241"/>
      <c r="AH34" s="241"/>
      <c r="AI34" s="241"/>
      <c r="AJ34" s="241"/>
      <c r="AK34" s="241"/>
      <c r="AL34" s="241"/>
      <c r="AM34" s="241"/>
      <c r="AN34" s="241"/>
      <c r="AO34" s="241"/>
    </row>
    <row r="35" spans="1:41" ht="15" customHeight="1" thickBot="1">
      <c r="A35" s="320"/>
      <c r="B35" s="1217" t="str">
        <f>VLOOKUP("current shift model:",Translations!$A:$T,MATCH(PSW!AO7,Translations!A1:P1,0),0)</f>
        <v>Current shift model (as planned in serial production):</v>
      </c>
      <c r="C35" s="1217"/>
      <c r="D35" s="1217"/>
      <c r="E35" s="1217"/>
      <c r="F35" s="1217"/>
      <c r="G35" s="1217"/>
      <c r="H35" s="1217"/>
      <c r="I35" s="1213" t="s">
        <v>365</v>
      </c>
      <c r="J35" s="1214"/>
      <c r="K35" s="1215"/>
      <c r="L35" s="321" t="s">
        <v>912</v>
      </c>
      <c r="M35" s="1213" t="s">
        <v>365</v>
      </c>
      <c r="N35" s="1214"/>
      <c r="O35" s="1215"/>
      <c r="P35" s="322" t="s">
        <v>913</v>
      </c>
      <c r="Q35" s="1216" t="e">
        <f>I35*M35*60</f>
        <v>#VALUE!</v>
      </c>
      <c r="R35" s="1216"/>
      <c r="S35" s="1216"/>
      <c r="T35" s="1216"/>
      <c r="U35" s="1216"/>
      <c r="V35" s="1216"/>
      <c r="W35" s="1216"/>
      <c r="X35" s="319"/>
      <c r="Y35" s="1208" t="s">
        <v>914</v>
      </c>
      <c r="Z35" s="1208"/>
      <c r="AA35" s="1208"/>
      <c r="AB35" s="91"/>
      <c r="AC35" s="91"/>
      <c r="AD35" s="91"/>
      <c r="AE35" s="317"/>
      <c r="AF35" s="241"/>
      <c r="AG35" s="241"/>
      <c r="AH35" s="241"/>
      <c r="AI35" s="241"/>
      <c r="AJ35" s="241"/>
      <c r="AK35" s="241"/>
      <c r="AL35" s="241"/>
      <c r="AM35" s="241"/>
      <c r="AN35" s="241"/>
      <c r="AO35" s="241"/>
    </row>
    <row r="36" spans="1:41" ht="15" customHeight="1" thickTop="1">
      <c r="A36" s="318"/>
      <c r="B36" s="1217"/>
      <c r="C36" s="1217"/>
      <c r="D36" s="1217"/>
      <c r="E36" s="1217"/>
      <c r="F36" s="1217"/>
      <c r="G36" s="1217"/>
      <c r="H36" s="1217"/>
      <c r="I36" s="1209" t="str">
        <f>VLOOKUP("shifts / week",Translations!$A:$T,MATCH(PSW!AO7,Translations!A1:P1,0),0)</f>
        <v>shifts / week</v>
      </c>
      <c r="J36" s="1209"/>
      <c r="K36" s="1209"/>
      <c r="L36" s="323"/>
      <c r="M36" s="1209" t="str">
        <f>VLOOKUP("hours / shift",Translations!$A:$T,MATCH(PSW!AO7,Translations!A1:P1,0),0)</f>
        <v>hours / shift</v>
      </c>
      <c r="N36" s="1209"/>
      <c r="O36" s="1209"/>
      <c r="P36" s="91"/>
      <c r="Q36" s="1210" t="str">
        <f>VLOOKUP("min. / week",Translations!$A:$T,MATCH(PSW!AO7,Translations!A1:P1,0),0)</f>
        <v>min. / week</v>
      </c>
      <c r="R36" s="1210"/>
      <c r="S36" s="1210"/>
      <c r="T36" s="1210"/>
      <c r="U36" s="1210"/>
      <c r="V36" s="1210"/>
      <c r="W36" s="1210"/>
      <c r="X36" s="319"/>
      <c r="Y36" s="91"/>
      <c r="Z36" s="377"/>
      <c r="AA36" s="377"/>
      <c r="AB36" s="91"/>
      <c r="AC36" s="91"/>
      <c r="AD36" s="91"/>
      <c r="AE36" s="317"/>
      <c r="AF36" s="241"/>
      <c r="AG36" s="241"/>
      <c r="AH36" s="241"/>
      <c r="AI36" s="241"/>
      <c r="AJ36" s="241"/>
      <c r="AK36" s="241"/>
      <c r="AL36" s="241"/>
      <c r="AM36" s="241"/>
      <c r="AN36" s="241"/>
      <c r="AO36" s="241"/>
    </row>
    <row r="37" spans="1:41" ht="15" customHeight="1" thickBot="1">
      <c r="A37" s="318"/>
      <c r="B37" s="1212" t="str">
        <f>VLOOKUP("Contractual planned Downtime:",Translations!$A:$T,MATCH(PSW!AO7,Translations!A1:P1,0),0)</f>
        <v>Contractual planned downtime
(lunch, breaks, etc.):</v>
      </c>
      <c r="C37" s="1212"/>
      <c r="D37" s="1212"/>
      <c r="E37" s="1212"/>
      <c r="F37" s="1212"/>
      <c r="G37" s="1212"/>
      <c r="H37" s="1212"/>
      <c r="I37" s="1213" t="s">
        <v>365</v>
      </c>
      <c r="J37" s="1214"/>
      <c r="K37" s="1215"/>
      <c r="L37" s="323"/>
      <c r="M37" s="324"/>
      <c r="N37" s="324"/>
      <c r="O37" s="324"/>
      <c r="P37" s="91"/>
      <c r="Q37" s="1216" t="e">
        <f>Q35-(I37*I35)</f>
        <v>#VALUE!</v>
      </c>
      <c r="R37" s="1216"/>
      <c r="S37" s="1216"/>
      <c r="T37" s="1216"/>
      <c r="U37" s="1216"/>
      <c r="V37" s="1216"/>
      <c r="W37" s="1216"/>
      <c r="X37" s="319"/>
      <c r="Y37" s="1208" t="s">
        <v>915</v>
      </c>
      <c r="Z37" s="1208"/>
      <c r="AA37" s="1208"/>
      <c r="AB37" s="91"/>
      <c r="AC37" s="91"/>
      <c r="AD37" s="91"/>
      <c r="AE37" s="317"/>
      <c r="AF37" s="241"/>
      <c r="AG37" s="241"/>
      <c r="AH37" s="241"/>
      <c r="AI37" s="241"/>
      <c r="AJ37" s="241"/>
      <c r="AK37" s="241"/>
      <c r="AL37" s="241"/>
      <c r="AM37" s="241"/>
      <c r="AN37" s="241"/>
      <c r="AO37" s="241"/>
    </row>
    <row r="38" spans="1:41" ht="12.75" customHeight="1" thickTop="1">
      <c r="A38" s="318"/>
      <c r="B38" s="1212"/>
      <c r="C38" s="1212"/>
      <c r="D38" s="1212"/>
      <c r="E38" s="1212"/>
      <c r="F38" s="1212"/>
      <c r="G38" s="1212"/>
      <c r="H38" s="1212"/>
      <c r="I38" s="1209" t="str">
        <f>VLOOKUP("min. / week",Translations!$A:$T,MATCH(PSW!AO7,Translations!A1:P1,0),0)</f>
        <v>min. / week</v>
      </c>
      <c r="J38" s="1209"/>
      <c r="K38" s="1209"/>
      <c r="L38" s="323"/>
      <c r="M38" s="324"/>
      <c r="N38" s="324"/>
      <c r="O38" s="324"/>
      <c r="P38" s="91"/>
      <c r="Q38" s="1210" t="str">
        <f>VLOOKUP("min. / week",Translations!$A:$T,MATCH(PSW!AO7,Translations!A1:P1,0),0)</f>
        <v>min. / week</v>
      </c>
      <c r="R38" s="1210"/>
      <c r="S38" s="1210"/>
      <c r="T38" s="1210"/>
      <c r="U38" s="1210"/>
      <c r="V38" s="1210"/>
      <c r="W38" s="1210"/>
      <c r="X38" s="319"/>
      <c r="Y38" s="91"/>
      <c r="Z38" s="91"/>
      <c r="AA38" s="91"/>
      <c r="AB38" s="91"/>
      <c r="AC38" s="91"/>
      <c r="AD38" s="91"/>
      <c r="AE38" s="317"/>
      <c r="AF38" s="241"/>
      <c r="AG38" s="241"/>
      <c r="AH38" s="241"/>
      <c r="AI38" s="241"/>
      <c r="AJ38" s="241"/>
      <c r="AK38" s="241"/>
      <c r="AL38" s="241"/>
      <c r="AM38" s="241"/>
      <c r="AN38" s="241"/>
      <c r="AO38" s="241"/>
    </row>
    <row r="39" spans="1:41" ht="12.75" customHeight="1">
      <c r="A39" s="318"/>
      <c r="B39" s="91"/>
      <c r="C39" s="91"/>
      <c r="D39" s="91"/>
      <c r="E39" s="91"/>
      <c r="F39" s="5"/>
      <c r="G39" s="91"/>
      <c r="H39" s="324"/>
      <c r="I39" s="324"/>
      <c r="J39" s="324"/>
      <c r="K39" s="323"/>
      <c r="L39" s="324"/>
      <c r="M39" s="324"/>
      <c r="N39" s="324"/>
      <c r="O39" s="91"/>
      <c r="P39" s="325"/>
      <c r="Q39" s="325"/>
      <c r="R39" s="325"/>
      <c r="S39" s="325"/>
      <c r="T39" s="325"/>
      <c r="U39" s="325"/>
      <c r="V39" s="325"/>
      <c r="W39" s="319"/>
      <c r="X39" s="319"/>
      <c r="Y39" s="91"/>
      <c r="Z39" s="91"/>
      <c r="AA39" s="91"/>
      <c r="AB39" s="91"/>
      <c r="AC39" s="91"/>
      <c r="AD39" s="91"/>
      <c r="AE39" s="317"/>
      <c r="AF39" s="241"/>
      <c r="AG39" s="241"/>
      <c r="AH39" s="241"/>
      <c r="AI39" s="241"/>
      <c r="AJ39" s="241"/>
      <c r="AK39" s="241"/>
      <c r="AL39" s="241"/>
      <c r="AM39" s="241"/>
      <c r="AN39" s="241"/>
      <c r="AO39" s="241"/>
    </row>
    <row r="40" spans="1:41" ht="15" customHeight="1">
      <c r="A40" s="320"/>
      <c r="B40" s="1160" t="str">
        <f>VLOOKUP("Data for actual performance calculation:",Translations!$A:$T,MATCH(PSW!AO7,Translations!A1:P1,0),0)</f>
        <v>Data for actual performance calculation:</v>
      </c>
      <c r="C40" s="1160"/>
      <c r="D40" s="1160"/>
      <c r="E40" s="1160"/>
      <c r="F40" s="1160"/>
      <c r="G40" s="1160"/>
      <c r="H40" s="1160"/>
      <c r="I40" s="1160"/>
      <c r="J40" s="1160"/>
      <c r="K40" s="1160"/>
      <c r="L40" s="1160"/>
      <c r="M40" s="1160"/>
      <c r="N40" s="1160"/>
      <c r="O40" s="1160"/>
      <c r="P40" s="1160"/>
      <c r="Q40" s="1160"/>
      <c r="R40" s="1160"/>
      <c r="S40" s="1160"/>
      <c r="T40" s="376"/>
      <c r="U40" s="375"/>
      <c r="V40" s="375"/>
      <c r="W40" s="375"/>
      <c r="X40" s="375"/>
      <c r="Y40" s="91"/>
      <c r="Z40" s="91"/>
      <c r="AA40" s="91"/>
      <c r="AB40" s="91"/>
      <c r="AC40" s="91"/>
      <c r="AD40" s="91"/>
      <c r="AE40" s="317"/>
      <c r="AF40" s="241"/>
      <c r="AG40" s="241"/>
      <c r="AH40" s="241"/>
      <c r="AI40" s="241"/>
      <c r="AJ40" s="241"/>
      <c r="AK40" s="241"/>
      <c r="AL40" s="241"/>
      <c r="AM40" s="241"/>
      <c r="AN40" s="241"/>
      <c r="AO40" s="241"/>
    </row>
    <row r="41" spans="1:41" ht="15" customHeight="1">
      <c r="A41" s="320"/>
      <c r="B41" s="91"/>
      <c r="C41" s="1182" t="str">
        <f>VLOOKUP("Produced good parts:",Translations!$A:$T,MATCH(PSW!AO7,Translations!A1:P1,0),0)</f>
        <v>Produced good parts:</v>
      </c>
      <c r="D41" s="1182"/>
      <c r="E41" s="1182"/>
      <c r="F41" s="1182"/>
      <c r="G41" s="1182"/>
      <c r="H41" s="1182"/>
      <c r="I41" s="1182"/>
      <c r="J41" s="1182"/>
      <c r="K41" s="1182"/>
      <c r="L41" s="1182"/>
      <c r="M41" s="1182"/>
      <c r="N41" s="1182"/>
      <c r="O41" s="1199"/>
      <c r="P41" s="1211" t="e">
        <f>L29</f>
        <v>#VALUE!</v>
      </c>
      <c r="Q41" s="1211"/>
      <c r="R41" s="1211"/>
      <c r="S41" s="1211"/>
      <c r="T41" s="392"/>
      <c r="U41" s="1142" t="str">
        <f>VLOOKUP("pc",Translations!$A:$T,MATCH(PSW!AO7,Translations!A1:P1,0),0)</f>
        <v>pieces</v>
      </c>
      <c r="V41" s="1142"/>
      <c r="W41" s="1142"/>
      <c r="X41" s="316"/>
      <c r="Y41" s="91"/>
      <c r="Z41" s="91"/>
      <c r="AA41" s="91"/>
      <c r="AB41" s="91"/>
      <c r="AC41" s="91"/>
      <c r="AD41" s="91"/>
      <c r="AE41" s="317"/>
      <c r="AF41" s="241"/>
      <c r="AG41" s="241"/>
      <c r="AH41" s="241"/>
      <c r="AI41" s="241"/>
      <c r="AJ41" s="241"/>
      <c r="AK41" s="241"/>
      <c r="AL41" s="241"/>
      <c r="AM41" s="241"/>
      <c r="AN41" s="241"/>
      <c r="AO41" s="241"/>
    </row>
    <row r="42" spans="1:41" ht="15" customHeight="1">
      <c r="A42" s="320"/>
      <c r="B42" s="91"/>
      <c r="C42" s="1182" t="str">
        <f>VLOOKUP("Produced scrap:",Translations!$A:$T,MATCH(PSW!AO7,Translations!A1:P1,0),0)</f>
        <v>Produced scrap:</v>
      </c>
      <c r="D42" s="1182"/>
      <c r="E42" s="1182"/>
      <c r="F42" s="1182"/>
      <c r="G42" s="1182"/>
      <c r="H42" s="1182"/>
      <c r="I42" s="1182"/>
      <c r="J42" s="1182"/>
      <c r="K42" s="1182"/>
      <c r="L42" s="1182"/>
      <c r="M42" s="1182"/>
      <c r="N42" s="1182"/>
      <c r="O42" s="1199"/>
      <c r="P42" s="1205" t="e">
        <f>L23</f>
        <v>#VALUE!</v>
      </c>
      <c r="Q42" s="1206"/>
      <c r="R42" s="1206"/>
      <c r="S42" s="1206"/>
      <c r="T42" s="394"/>
      <c r="U42" s="1142" t="str">
        <f>VLOOKUP("pc",Translations!$A:$T,MATCH(PSW!AO7,Translations!A1:P1,0),0)</f>
        <v>pieces</v>
      </c>
      <c r="V42" s="1142"/>
      <c r="W42" s="1142"/>
      <c r="X42" s="91"/>
      <c r="Y42" s="91"/>
      <c r="Z42" s="91"/>
      <c r="AA42" s="91"/>
      <c r="AB42" s="91"/>
      <c r="AC42" s="91"/>
      <c r="AD42" s="91"/>
      <c r="AE42" s="317"/>
      <c r="AF42" s="241"/>
      <c r="AG42" s="241"/>
      <c r="AH42" s="241"/>
      <c r="AI42" s="241"/>
      <c r="AJ42" s="241"/>
      <c r="AK42" s="241"/>
      <c r="AL42" s="241"/>
      <c r="AM42" s="241"/>
      <c r="AN42" s="241"/>
      <c r="AO42" s="241"/>
    </row>
    <row r="43" spans="1:41" ht="15" customHeight="1">
      <c r="A43" s="320"/>
      <c r="B43" s="91"/>
      <c r="C43" s="1182" t="str">
        <f>VLOOKUP("production time without down times:",Translations!$A:$T,MATCH(PSW!AO7,Translations!A1:P1,0),0)</f>
        <v>Production time without downtimes:</v>
      </c>
      <c r="D43" s="1182"/>
      <c r="E43" s="1182"/>
      <c r="F43" s="1182"/>
      <c r="G43" s="1182"/>
      <c r="H43" s="1182"/>
      <c r="I43" s="1182"/>
      <c r="J43" s="1182"/>
      <c r="K43" s="1182"/>
      <c r="L43" s="1182"/>
      <c r="M43" s="1182"/>
      <c r="N43" s="1182"/>
      <c r="O43" s="1199"/>
      <c r="P43" s="1207" t="s">
        <v>365</v>
      </c>
      <c r="Q43" s="1207"/>
      <c r="R43" s="1207"/>
      <c r="S43" s="1207"/>
      <c r="T43" s="393"/>
      <c r="U43" s="1142" t="str">
        <f>VLOOKUP("min",Translations!$A:$T,MATCH(PSW!AO7,Translations!A1:P1,0),0)</f>
        <v>min.</v>
      </c>
      <c r="V43" s="1142"/>
      <c r="W43" s="1142"/>
      <c r="X43" s="91"/>
      <c r="Y43" s="91"/>
      <c r="Z43" s="91"/>
      <c r="AA43" s="91"/>
      <c r="AB43" s="91"/>
      <c r="AC43" s="91"/>
      <c r="AD43" s="91"/>
      <c r="AE43" s="317"/>
      <c r="AF43" s="241"/>
      <c r="AG43" s="241"/>
      <c r="AH43" s="241"/>
      <c r="AI43" s="241"/>
      <c r="AJ43" s="241"/>
      <c r="AK43" s="241"/>
      <c r="AL43" s="241"/>
      <c r="AM43" s="241"/>
      <c r="AN43" s="241"/>
      <c r="AO43" s="241"/>
    </row>
    <row r="44" spans="1:41" ht="15" customHeight="1">
      <c r="A44" s="320"/>
      <c r="B44" s="91"/>
      <c r="C44" s="1182" t="str">
        <f>VLOOKUP("Down times:",Translations!$A:$T,MATCH(PSW!AO7,Translations!A1:P1,0),0)</f>
        <v>Downtimes:</v>
      </c>
      <c r="D44" s="1182"/>
      <c r="E44" s="1182"/>
      <c r="F44" s="1182"/>
      <c r="G44" s="1182"/>
      <c r="H44" s="1182"/>
      <c r="I44" s="1182"/>
      <c r="J44" s="1182"/>
      <c r="K44" s="1182"/>
      <c r="L44" s="1182"/>
      <c r="M44" s="1182"/>
      <c r="N44" s="1182"/>
      <c r="O44" s="1199"/>
      <c r="P44" s="1200" t="s">
        <v>365</v>
      </c>
      <c r="Q44" s="1200"/>
      <c r="R44" s="1200"/>
      <c r="S44" s="1200"/>
      <c r="T44" s="395"/>
      <c r="U44" s="1142" t="str">
        <f>VLOOKUP("min",Translations!$A:$T,MATCH(PSW!AO7,Translations!A1:P1,0),0)</f>
        <v>min.</v>
      </c>
      <c r="V44" s="1142"/>
      <c r="W44" s="1142"/>
      <c r="X44" s="91"/>
      <c r="Y44" s="91"/>
      <c r="Z44" s="91"/>
      <c r="AA44" s="91"/>
      <c r="AB44" s="91"/>
      <c r="AC44" s="91"/>
      <c r="AD44" s="91"/>
      <c r="AE44" s="317"/>
      <c r="AF44" s="241"/>
      <c r="AG44" s="241"/>
      <c r="AH44" s="241"/>
      <c r="AI44" s="241"/>
      <c r="AJ44" s="241"/>
      <c r="AK44" s="241"/>
      <c r="AL44" s="241"/>
      <c r="AM44" s="241"/>
      <c r="AN44" s="241"/>
      <c r="AO44" s="241"/>
    </row>
    <row r="45" spans="1:41" ht="6" customHeight="1">
      <c r="A45" s="320"/>
      <c r="B45" s="304"/>
      <c r="C45" s="304"/>
      <c r="D45" s="304"/>
      <c r="E45" s="304"/>
      <c r="F45" s="374"/>
      <c r="G45" s="374"/>
      <c r="H45" s="316"/>
      <c r="I45" s="316"/>
      <c r="J45" s="315"/>
      <c r="K45" s="315"/>
      <c r="L45" s="315"/>
      <c r="M45" s="315"/>
      <c r="N45" s="315"/>
      <c r="O45" s="316"/>
      <c r="P45" s="327"/>
      <c r="Q45" s="327"/>
      <c r="R45" s="327"/>
      <c r="S45" s="327"/>
      <c r="T45" s="327"/>
      <c r="U45" s="316"/>
      <c r="V45" s="316"/>
      <c r="W45" s="316"/>
      <c r="X45" s="316"/>
      <c r="Y45" s="91"/>
      <c r="Z45" s="91"/>
      <c r="AA45" s="91"/>
      <c r="AB45" s="91"/>
      <c r="AC45" s="91"/>
      <c r="AD45" s="91"/>
      <c r="AE45" s="317"/>
      <c r="AF45" s="241"/>
      <c r="AG45" s="241"/>
      <c r="AH45" s="241"/>
      <c r="AI45" s="241"/>
      <c r="AJ45" s="241"/>
      <c r="AK45" s="241"/>
      <c r="AL45" s="241"/>
      <c r="AM45" s="241"/>
      <c r="AN45" s="241"/>
      <c r="AO45" s="241"/>
    </row>
    <row r="46" spans="1:41" ht="6" customHeight="1">
      <c r="A46" s="320"/>
      <c r="B46" s="307"/>
      <c r="C46" s="307"/>
      <c r="D46" s="307"/>
      <c r="E46" s="307"/>
      <c r="F46" s="307"/>
      <c r="G46" s="307"/>
      <c r="H46" s="288"/>
      <c r="I46" s="288"/>
      <c r="J46" s="288"/>
      <c r="K46" s="288"/>
      <c r="L46" s="288"/>
      <c r="M46" s="288"/>
      <c r="N46" s="288"/>
      <c r="O46" s="288"/>
      <c r="P46" s="328"/>
      <c r="Q46" s="328"/>
      <c r="R46" s="328"/>
      <c r="S46" s="328"/>
      <c r="T46" s="328"/>
      <c r="U46" s="288"/>
      <c r="V46" s="288"/>
      <c r="W46" s="288"/>
      <c r="X46" s="288"/>
      <c r="Y46" s="288"/>
      <c r="Z46" s="288"/>
      <c r="AA46" s="288"/>
      <c r="AB46" s="288"/>
      <c r="AC46" s="288"/>
      <c r="AD46" s="288"/>
      <c r="AE46" s="329"/>
      <c r="AF46" s="241"/>
      <c r="AG46" s="241"/>
      <c r="AH46" s="241"/>
      <c r="AI46" s="241"/>
      <c r="AJ46" s="241"/>
      <c r="AK46" s="241"/>
      <c r="AL46" s="241"/>
      <c r="AM46" s="241"/>
      <c r="AN46" s="241"/>
      <c r="AO46" s="241"/>
    </row>
    <row r="47" spans="1:41" ht="15" customHeight="1">
      <c r="A47" s="330"/>
      <c r="B47" s="1182" t="str">
        <f>VLOOKUP("set up time, actual:",Translations!$A:$T,MATCH(PSW!AO7,Translations!A1:P1,0),0)</f>
        <v>Set-up time, actual:</v>
      </c>
      <c r="C47" s="1182"/>
      <c r="D47" s="1182"/>
      <c r="E47" s="1182"/>
      <c r="F47" s="1182"/>
      <c r="G47" s="1182"/>
      <c r="H47" s="1199"/>
      <c r="I47" s="1153" t="s">
        <v>365</v>
      </c>
      <c r="J47" s="1155"/>
      <c r="K47" s="1142" t="str">
        <f>VLOOKUP("min",Translations!$A:$T,MATCH(PSW!AO7,Translations!A1:P1,0),0)</f>
        <v>min.</v>
      </c>
      <c r="L47" s="1142"/>
      <c r="M47" s="1201" t="s">
        <v>932</v>
      </c>
      <c r="N47" s="1201"/>
      <c r="O47" s="1201"/>
      <c r="P47" s="1202" t="s">
        <v>365</v>
      </c>
      <c r="Q47" s="1203"/>
      <c r="R47" s="1203"/>
      <c r="S47" s="1204"/>
      <c r="T47" s="396"/>
      <c r="U47" s="1142" t="str">
        <f>VLOOKUP("pc",Translations!$A:$T,MATCH(PSW!AO7,Translations!A1:P1,0),0)</f>
        <v>pieces</v>
      </c>
      <c r="V47" s="1142"/>
      <c r="W47" s="1142"/>
      <c r="X47" s="91"/>
      <c r="Y47" s="91"/>
      <c r="Z47" s="91"/>
      <c r="AA47" s="91"/>
      <c r="AB47" s="91"/>
      <c r="AC47" s="91"/>
      <c r="AD47" s="91"/>
      <c r="AE47" s="317"/>
      <c r="AF47" s="241"/>
      <c r="AG47" s="241"/>
      <c r="AH47" s="241"/>
      <c r="AI47" s="241"/>
      <c r="AJ47" s="241"/>
      <c r="AK47" s="241"/>
      <c r="AL47" s="241"/>
      <c r="AM47" s="241"/>
      <c r="AN47" s="241"/>
      <c r="AO47" s="241"/>
    </row>
    <row r="48" spans="1:41" ht="6" customHeight="1">
      <c r="A48" s="330"/>
      <c r="B48" s="331"/>
      <c r="C48" s="331"/>
      <c r="D48" s="332"/>
      <c r="E48" s="333"/>
      <c r="F48" s="326"/>
      <c r="G48" s="322"/>
      <c r="H48" s="91"/>
      <c r="I48" s="91"/>
      <c r="J48" s="91"/>
      <c r="K48" s="91"/>
      <c r="L48" s="91"/>
      <c r="M48" s="91"/>
      <c r="N48" s="91"/>
      <c r="O48" s="91"/>
      <c r="P48" s="91"/>
      <c r="Q48" s="91"/>
      <c r="R48" s="91"/>
      <c r="S48" s="91"/>
      <c r="T48" s="91"/>
      <c r="U48" s="91"/>
      <c r="V48" s="91"/>
      <c r="W48" s="91"/>
      <c r="X48" s="91"/>
      <c r="Y48" s="91"/>
      <c r="Z48" s="91"/>
      <c r="AA48" s="91"/>
      <c r="AB48" s="91"/>
      <c r="AC48" s="91"/>
      <c r="AD48" s="91"/>
      <c r="AE48" s="317"/>
      <c r="AF48" s="241"/>
      <c r="AG48" s="241"/>
      <c r="AH48" s="241"/>
      <c r="AI48" s="241"/>
      <c r="AJ48" s="241"/>
      <c r="AK48" s="241"/>
      <c r="AL48" s="241"/>
      <c r="AM48" s="241"/>
      <c r="AN48" s="241"/>
      <c r="AO48" s="241"/>
    </row>
    <row r="49" spans="1:41" ht="6" customHeight="1">
      <c r="A49" s="320"/>
      <c r="B49" s="334"/>
      <c r="C49" s="335"/>
      <c r="D49" s="336"/>
      <c r="E49" s="307"/>
      <c r="F49" s="337"/>
      <c r="G49" s="307"/>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329"/>
      <c r="AF49" s="241"/>
      <c r="AG49" s="241"/>
      <c r="AH49" s="241"/>
      <c r="AI49" s="241"/>
      <c r="AJ49" s="241"/>
      <c r="AK49" s="241"/>
      <c r="AL49" s="241"/>
      <c r="AM49" s="241"/>
      <c r="AN49" s="241"/>
      <c r="AO49" s="241"/>
    </row>
    <row r="50" spans="1:41" ht="13.5" thickBot="1">
      <c r="A50" s="338"/>
      <c r="B50" s="339"/>
      <c r="C50" s="1152" t="str">
        <f>VLOOKUP("production time, actual:",Translations!$A:$T,MATCH(PSW!AO7,Translations!A1:P1,0),0)</f>
        <v>Production time, actual:</v>
      </c>
      <c r="D50" s="1152"/>
      <c r="E50" s="1152"/>
      <c r="F50" s="1152"/>
      <c r="G50" s="1152"/>
      <c r="H50" s="1152"/>
      <c r="I50" s="1152"/>
      <c r="J50" s="1152"/>
      <c r="K50" s="1152"/>
      <c r="L50" s="1152"/>
      <c r="M50" s="1152"/>
      <c r="N50" s="1161" t="e">
        <f>P43/P41*60</f>
        <v>#VALUE!</v>
      </c>
      <c r="O50" s="1161"/>
      <c r="P50" s="1161"/>
      <c r="Q50" s="1161"/>
      <c r="R50" s="1142" t="str">
        <f>VLOOKUP("sec./pc.",Translations!$A:$T,MATCH(PSW!AO7,Translations!A1:P1,0),0)</f>
        <v>sec./ pc.</v>
      </c>
      <c r="S50" s="1142"/>
      <c r="T50" s="1142"/>
      <c r="U50" s="1142"/>
      <c r="V50" s="1142"/>
      <c r="W50" s="1142"/>
      <c r="X50" s="340"/>
      <c r="Y50" s="1142" t="str">
        <f>VLOOKUP("amount of cavities considered",Translations!$A:$T,MATCH(PSW!AO7,Translations!A1:P1,0),0)</f>
        <v>(amount of cavities considered)</v>
      </c>
      <c r="Z50" s="1142"/>
      <c r="AA50" s="1142"/>
      <c r="AB50" s="1142"/>
      <c r="AC50" s="1142"/>
      <c r="AD50" s="1142"/>
      <c r="AE50" s="1143"/>
      <c r="AF50" s="353"/>
      <c r="AG50" s="353"/>
      <c r="AH50" s="353"/>
      <c r="AI50" s="353"/>
      <c r="AJ50" s="353"/>
      <c r="AK50" s="354"/>
      <c r="AL50" s="354"/>
      <c r="AM50" s="354"/>
      <c r="AN50" s="354"/>
      <c r="AO50" s="354"/>
    </row>
    <row r="51" spans="1:41" ht="13.5" thickTop="1">
      <c r="A51" s="320"/>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41"/>
      <c r="AF51" s="354"/>
      <c r="AG51" s="354"/>
      <c r="AH51" s="354"/>
      <c r="AI51" s="354"/>
      <c r="AJ51" s="354"/>
      <c r="AK51" s="354"/>
      <c r="AL51" s="354"/>
      <c r="AM51" s="354"/>
      <c r="AN51" s="354"/>
      <c r="AO51" s="354"/>
    </row>
    <row r="52" spans="1:41" ht="6" customHeight="1">
      <c r="A52" s="320"/>
      <c r="B52" s="342"/>
      <c r="C52" s="342"/>
      <c r="D52" s="342"/>
      <c r="E52" s="342"/>
      <c r="F52" s="342"/>
      <c r="G52" s="342"/>
      <c r="H52" s="339"/>
      <c r="I52" s="339"/>
      <c r="J52" s="339"/>
      <c r="K52" s="339"/>
      <c r="L52" s="339"/>
      <c r="M52" s="339"/>
      <c r="N52" s="340"/>
      <c r="O52" s="340"/>
      <c r="P52" s="340"/>
      <c r="Q52" s="340"/>
      <c r="R52" s="340"/>
      <c r="S52" s="340"/>
      <c r="T52" s="340"/>
      <c r="U52" s="340"/>
      <c r="V52" s="340"/>
      <c r="W52" s="340"/>
      <c r="X52" s="340"/>
      <c r="Y52" s="340"/>
      <c r="Z52" s="340"/>
      <c r="AA52" s="340"/>
      <c r="AB52" s="340"/>
      <c r="AC52" s="340"/>
      <c r="AD52" s="340"/>
      <c r="AE52" s="360"/>
      <c r="AF52" s="355"/>
      <c r="AG52" s="355"/>
      <c r="AH52" s="355"/>
      <c r="AI52" s="354"/>
      <c r="AJ52" s="354"/>
      <c r="AK52" s="354"/>
      <c r="AL52" s="354"/>
      <c r="AM52" s="354"/>
      <c r="AN52" s="354"/>
      <c r="AO52" s="354"/>
    </row>
    <row r="53" spans="1:41" ht="13.5" thickBot="1">
      <c r="A53" s="320"/>
      <c r="B53" s="339"/>
      <c r="C53" s="1197" t="str">
        <f>VLOOKUP("Set up rate, actual:",Translations!$A:$T,MATCH(PSW!AO7,Translations!A1:P1,0),0)</f>
        <v>Set-up rate, actual:</v>
      </c>
      <c r="D53" s="1197"/>
      <c r="E53" s="1197"/>
      <c r="F53" s="1197"/>
      <c r="G53" s="1197"/>
      <c r="H53" s="1197"/>
      <c r="I53" s="1197"/>
      <c r="J53" s="1197"/>
      <c r="K53" s="1197"/>
      <c r="L53" s="1197"/>
      <c r="M53" s="1197"/>
      <c r="N53" s="1198" t="e">
        <f>I47/P47*60</f>
        <v>#VALUE!</v>
      </c>
      <c r="O53" s="1198"/>
      <c r="P53" s="1198"/>
      <c r="Q53" s="1198"/>
      <c r="R53" s="1142" t="str">
        <f>VLOOKUP("sec./pc.",Translations!$A:$T,MATCH(PSW!AO7,Translations!A1:P1,0),0)</f>
        <v>sec./ pc.</v>
      </c>
      <c r="S53" s="1142"/>
      <c r="T53" s="1142"/>
      <c r="U53" s="1142"/>
      <c r="V53" s="1142"/>
      <c r="W53" s="1142"/>
      <c r="X53" s="340"/>
      <c r="Y53" s="340"/>
      <c r="Z53" s="340"/>
      <c r="AA53" s="340"/>
      <c r="AB53" s="340"/>
      <c r="AC53" s="340"/>
      <c r="AD53" s="340"/>
      <c r="AE53" s="360"/>
      <c r="AF53" s="355"/>
      <c r="AG53" s="355"/>
      <c r="AH53" s="355"/>
      <c r="AI53" s="354"/>
      <c r="AJ53" s="354"/>
      <c r="AK53" s="354"/>
      <c r="AL53" s="354"/>
      <c r="AM53" s="354"/>
      <c r="AN53" s="354"/>
      <c r="AO53" s="354"/>
    </row>
    <row r="54" spans="1:41" ht="6" customHeight="1" thickTop="1">
      <c r="A54" s="320"/>
      <c r="B54" s="325"/>
      <c r="C54" s="325"/>
      <c r="D54" s="376"/>
      <c r="E54" s="374"/>
      <c r="F54" s="304"/>
      <c r="G54" s="374"/>
      <c r="H54" s="339"/>
      <c r="I54" s="339"/>
      <c r="J54" s="339"/>
      <c r="K54" s="339"/>
      <c r="L54" s="339"/>
      <c r="M54" s="339"/>
      <c r="N54" s="340"/>
      <c r="O54" s="340"/>
      <c r="P54" s="340"/>
      <c r="Q54" s="340"/>
      <c r="R54" s="340"/>
      <c r="S54" s="340"/>
      <c r="T54" s="340"/>
      <c r="U54" s="340"/>
      <c r="V54" s="340"/>
      <c r="W54" s="340"/>
      <c r="X54" s="340"/>
      <c r="Y54" s="340"/>
      <c r="Z54" s="340"/>
      <c r="AA54" s="340"/>
      <c r="AB54" s="340"/>
      <c r="AC54" s="340"/>
      <c r="AD54" s="340"/>
      <c r="AE54" s="360"/>
      <c r="AF54" s="355"/>
      <c r="AG54" s="355"/>
      <c r="AH54" s="355"/>
      <c r="AI54" s="354"/>
      <c r="AJ54" s="354"/>
      <c r="AK54" s="354"/>
      <c r="AL54" s="354"/>
      <c r="AM54" s="354"/>
      <c r="AN54" s="354"/>
      <c r="AO54" s="354"/>
    </row>
    <row r="55" spans="1:41" ht="13.5" thickBot="1">
      <c r="A55" s="318"/>
      <c r="B55" s="339"/>
      <c r="C55" s="1158" t="str">
        <f>VLOOKUP("Total time per piece:",Translations!$A:$T,MATCH(PSW!AO7,Translations!A1:P1,0),0)</f>
        <v>Total time per piece:</v>
      </c>
      <c r="D55" s="1158"/>
      <c r="E55" s="1158"/>
      <c r="F55" s="1158"/>
      <c r="G55" s="1158"/>
      <c r="H55" s="1158"/>
      <c r="I55" s="1158"/>
      <c r="J55" s="1158"/>
      <c r="K55" s="1158"/>
      <c r="L55" s="1158"/>
      <c r="M55" s="1158"/>
      <c r="N55" s="1159" t="e">
        <f>N50+N53</f>
        <v>#VALUE!</v>
      </c>
      <c r="O55" s="1159"/>
      <c r="P55" s="1159"/>
      <c r="Q55" s="1159"/>
      <c r="R55" s="1142" t="str">
        <f>VLOOKUP("sec./pc.",Translations!$A:$T,MATCH(PSW!AO7,Translations!A1:P1,0),0)</f>
        <v>sec./ pc.</v>
      </c>
      <c r="S55" s="1142"/>
      <c r="T55" s="1142"/>
      <c r="U55" s="1142"/>
      <c r="V55" s="1142"/>
      <c r="W55" s="1142"/>
      <c r="X55" s="340"/>
      <c r="Y55" s="340"/>
      <c r="Z55" s="340"/>
      <c r="AA55" s="340"/>
      <c r="AB55" s="340"/>
      <c r="AC55" s="340"/>
      <c r="AD55" s="340"/>
      <c r="AE55" s="360"/>
      <c r="AF55" s="355"/>
      <c r="AG55" s="355"/>
      <c r="AH55" s="355"/>
      <c r="AI55" s="354"/>
      <c r="AJ55" s="354"/>
      <c r="AK55" s="354"/>
      <c r="AL55" s="354"/>
      <c r="AM55" s="354"/>
      <c r="AN55" s="354"/>
      <c r="AO55" s="354"/>
    </row>
    <row r="56" spans="1:41" ht="6" customHeight="1" thickTop="1">
      <c r="A56" s="320"/>
      <c r="B56" s="343"/>
      <c r="C56" s="343"/>
      <c r="D56" s="344"/>
      <c r="E56" s="309"/>
      <c r="F56" s="304"/>
      <c r="G56" s="304"/>
      <c r="H56" s="339"/>
      <c r="I56" s="339"/>
      <c r="J56" s="339"/>
      <c r="K56" s="339"/>
      <c r="L56" s="339"/>
      <c r="M56" s="339"/>
      <c r="N56" s="340"/>
      <c r="O56" s="340"/>
      <c r="P56" s="340"/>
      <c r="Q56" s="340"/>
      <c r="R56" s="340"/>
      <c r="S56" s="340"/>
      <c r="T56" s="340"/>
      <c r="U56" s="340"/>
      <c r="V56" s="340"/>
      <c r="W56" s="340"/>
      <c r="X56" s="340"/>
      <c r="Y56" s="340"/>
      <c r="Z56" s="340"/>
      <c r="AA56" s="340"/>
      <c r="AB56" s="340"/>
      <c r="AC56" s="340"/>
      <c r="AD56" s="340"/>
      <c r="AE56" s="360"/>
      <c r="AF56" s="355"/>
      <c r="AG56" s="355"/>
      <c r="AH56" s="355"/>
      <c r="AI56" s="354"/>
      <c r="AJ56" s="354"/>
      <c r="AK56" s="354"/>
      <c r="AL56" s="354"/>
      <c r="AM56" s="354"/>
      <c r="AN56" s="354"/>
      <c r="AO56" s="354"/>
    </row>
    <row r="57" spans="1:41" ht="13.5" thickBot="1">
      <c r="A57" s="338"/>
      <c r="B57" s="339"/>
      <c r="C57" s="1160" t="str">
        <f>VLOOKUP("Scrap, actual:",Translations!$A:$T,MATCH(PSW!AO7,Translations!A1:P1,0),0)</f>
        <v>Scrap rate, actual:</v>
      </c>
      <c r="D57" s="1160"/>
      <c r="E57" s="1160"/>
      <c r="F57" s="1160"/>
      <c r="G57" s="1160"/>
      <c r="H57" s="1160"/>
      <c r="I57" s="1160"/>
      <c r="J57" s="1160"/>
      <c r="K57" s="1160"/>
      <c r="L57" s="1160"/>
      <c r="M57" s="1160"/>
      <c r="N57" s="1161" t="e">
        <f>P42/(P41+P42)*100</f>
        <v>#VALUE!</v>
      </c>
      <c r="O57" s="1161"/>
      <c r="P57" s="1161"/>
      <c r="Q57" s="1161"/>
      <c r="R57" s="1162" t="s">
        <v>910</v>
      </c>
      <c r="S57" s="1162"/>
      <c r="T57" s="340"/>
      <c r="U57" s="340"/>
      <c r="V57" s="340"/>
      <c r="W57" s="340"/>
      <c r="X57" s="340"/>
      <c r="Y57" s="340"/>
      <c r="Z57" s="340"/>
      <c r="AA57" s="340"/>
      <c r="AB57" s="340"/>
      <c r="AC57" s="340"/>
      <c r="AD57" s="340"/>
      <c r="AE57" s="360"/>
      <c r="AF57" s="355"/>
      <c r="AG57" s="355"/>
      <c r="AH57" s="355"/>
      <c r="AI57" s="354"/>
      <c r="AJ57" s="354"/>
      <c r="AK57" s="354"/>
      <c r="AL57" s="354"/>
      <c r="AM57" s="354"/>
      <c r="AN57" s="354"/>
      <c r="AO57" s="354"/>
    </row>
    <row r="58" spans="1:41" ht="6" customHeight="1" thickTop="1">
      <c r="A58" s="320"/>
      <c r="B58" s="325"/>
      <c r="C58" s="325"/>
      <c r="D58" s="376"/>
      <c r="E58" s="374"/>
      <c r="F58" s="304"/>
      <c r="G58" s="374"/>
      <c r="H58" s="339"/>
      <c r="I58" s="339"/>
      <c r="J58" s="339"/>
      <c r="K58" s="339"/>
      <c r="L58" s="339"/>
      <c r="M58" s="339"/>
      <c r="N58" s="340"/>
      <c r="O58" s="340"/>
      <c r="P58" s="340"/>
      <c r="Q58" s="340"/>
      <c r="R58" s="340"/>
      <c r="S58" s="340"/>
      <c r="T58" s="340"/>
      <c r="U58" s="340"/>
      <c r="V58" s="340"/>
      <c r="W58" s="340"/>
      <c r="X58" s="340"/>
      <c r="Y58" s="340"/>
      <c r="Z58" s="340"/>
      <c r="AA58" s="340"/>
      <c r="AB58" s="340"/>
      <c r="AC58" s="340"/>
      <c r="AD58" s="340"/>
      <c r="AE58" s="360"/>
      <c r="AF58" s="355"/>
      <c r="AG58" s="355"/>
      <c r="AH58" s="355"/>
      <c r="AI58" s="354"/>
      <c r="AJ58" s="354"/>
      <c r="AK58" s="354"/>
      <c r="AL58" s="354"/>
      <c r="AM58" s="354"/>
      <c r="AN58" s="354"/>
      <c r="AO58" s="354"/>
    </row>
    <row r="59" spans="1:41" ht="15" customHeight="1">
      <c r="A59" s="338"/>
      <c r="B59" s="339"/>
      <c r="C59" s="1152" t="str">
        <f>VLOOKUP("Equipment availability, actual:",Translations!$A:$T,MATCH(PSW!AO7,Translations!A1:P1,0),0)</f>
        <v>Equipment availability, actual:</v>
      </c>
      <c r="D59" s="1152"/>
      <c r="E59" s="1152"/>
      <c r="F59" s="1152"/>
      <c r="G59" s="1152"/>
      <c r="H59" s="1152"/>
      <c r="I59" s="1152"/>
      <c r="J59" s="1152"/>
      <c r="K59" s="1152"/>
      <c r="L59" s="1152"/>
      <c r="M59" s="1152"/>
      <c r="N59" s="1194" t="s">
        <v>365</v>
      </c>
      <c r="O59" s="1195"/>
      <c r="P59" s="1195"/>
      <c r="Q59" s="1196"/>
      <c r="R59" s="1163" t="s">
        <v>910</v>
      </c>
      <c r="S59" s="1162"/>
      <c r="T59" s="340"/>
      <c r="U59" s="340"/>
      <c r="V59" s="340"/>
      <c r="W59" s="340"/>
      <c r="X59" s="340"/>
      <c r="Y59" s="340"/>
      <c r="Z59" s="340"/>
      <c r="AA59" s="340"/>
      <c r="AB59" s="340"/>
      <c r="AC59" s="340"/>
      <c r="AD59" s="340"/>
      <c r="AE59" s="360"/>
      <c r="AF59" s="355"/>
      <c r="AG59" s="355"/>
      <c r="AH59" s="355"/>
      <c r="AI59" s="354"/>
      <c r="AJ59" s="354"/>
      <c r="AK59" s="354"/>
      <c r="AL59" s="354"/>
      <c r="AM59" s="354"/>
      <c r="AN59" s="354"/>
      <c r="AO59" s="354"/>
    </row>
    <row r="60" spans="1:41" ht="6" customHeight="1">
      <c r="A60" s="320"/>
      <c r="B60" s="325"/>
      <c r="C60" s="325"/>
      <c r="D60" s="376"/>
      <c r="E60" s="374"/>
      <c r="F60" s="304"/>
      <c r="G60" s="374"/>
      <c r="H60" s="339"/>
      <c r="I60" s="339"/>
      <c r="J60" s="339"/>
      <c r="K60" s="339"/>
      <c r="L60" s="339"/>
      <c r="M60" s="339"/>
      <c r="N60" s="340"/>
      <c r="O60" s="340"/>
      <c r="P60" s="340"/>
      <c r="Q60" s="340"/>
      <c r="R60" s="340"/>
      <c r="S60" s="340"/>
      <c r="T60" s="340"/>
      <c r="U60" s="340"/>
      <c r="V60" s="340"/>
      <c r="W60" s="340"/>
      <c r="X60" s="340"/>
      <c r="Y60" s="340"/>
      <c r="Z60" s="340"/>
      <c r="AA60" s="340"/>
      <c r="AB60" s="340"/>
      <c r="AC60" s="340"/>
      <c r="AD60" s="340"/>
      <c r="AE60" s="360"/>
      <c r="AF60" s="355"/>
      <c r="AG60" s="355"/>
      <c r="AH60" s="355"/>
      <c r="AI60" s="354"/>
      <c r="AJ60" s="354"/>
      <c r="AK60" s="354"/>
      <c r="AL60" s="354"/>
      <c r="AM60" s="354"/>
      <c r="AN60" s="354"/>
      <c r="AO60" s="354"/>
    </row>
    <row r="61" spans="1:41" ht="15" customHeight="1">
      <c r="A61" s="320"/>
      <c r="B61" s="339"/>
      <c r="C61" s="1152" t="str">
        <f>VLOOKUP("Reserved Capacity for MANN+HUMMEL:",Translations!$A:$T,MATCH(PSW!AO7,Translations!A1:P1,0),0)</f>
        <v>Reserved Capacity for MANN+HUMMEL:</v>
      </c>
      <c r="D61" s="1152"/>
      <c r="E61" s="1152"/>
      <c r="F61" s="1152"/>
      <c r="G61" s="1152"/>
      <c r="H61" s="1152"/>
      <c r="I61" s="1152"/>
      <c r="J61" s="1152"/>
      <c r="K61" s="1152"/>
      <c r="L61" s="1152"/>
      <c r="M61" s="1152"/>
      <c r="N61" s="1153" t="s">
        <v>365</v>
      </c>
      <c r="O61" s="1154"/>
      <c r="P61" s="1154"/>
      <c r="Q61" s="1155"/>
      <c r="R61" s="1163" t="s">
        <v>910</v>
      </c>
      <c r="S61" s="1162"/>
      <c r="T61" s="340"/>
      <c r="U61" s="340"/>
      <c r="V61" s="340"/>
      <c r="W61" s="340"/>
      <c r="X61" s="340"/>
      <c r="Y61" s="340"/>
      <c r="Z61" s="340"/>
      <c r="AA61" s="340"/>
      <c r="AB61" s="340"/>
      <c r="AC61" s="340"/>
      <c r="AD61" s="340"/>
      <c r="AE61" s="360"/>
      <c r="AF61" s="355"/>
      <c r="AG61" s="355"/>
      <c r="AH61" s="355"/>
      <c r="AI61" s="354"/>
      <c r="AJ61" s="354"/>
      <c r="AK61" s="354"/>
      <c r="AL61" s="354"/>
      <c r="AM61" s="354"/>
      <c r="AN61" s="354"/>
      <c r="AO61" s="354"/>
    </row>
    <row r="62" spans="1:41">
      <c r="A62" s="320"/>
      <c r="B62" s="339"/>
      <c r="C62" s="375"/>
      <c r="D62" s="375"/>
      <c r="E62" s="375"/>
      <c r="F62" s="375"/>
      <c r="G62" s="375"/>
      <c r="H62" s="375"/>
      <c r="I62" s="375"/>
      <c r="J62" s="375"/>
      <c r="K62" s="375"/>
      <c r="L62" s="375"/>
      <c r="M62" s="375"/>
      <c r="N62" s="346"/>
      <c r="O62" s="346"/>
      <c r="P62" s="346"/>
      <c r="Q62" s="346"/>
      <c r="R62" s="345"/>
      <c r="S62" s="340"/>
      <c r="T62" s="340"/>
      <c r="U62" s="340"/>
      <c r="V62" s="340"/>
      <c r="W62" s="340"/>
      <c r="X62" s="340"/>
      <c r="Y62" s="340"/>
      <c r="Z62" s="340"/>
      <c r="AA62" s="340"/>
      <c r="AB62" s="340"/>
      <c r="AC62" s="340"/>
      <c r="AD62" s="340"/>
      <c r="AE62" s="360"/>
      <c r="AF62" s="355"/>
      <c r="AG62" s="355"/>
      <c r="AH62" s="355"/>
      <c r="AI62" s="354"/>
      <c r="AJ62" s="354"/>
      <c r="AK62" s="354"/>
      <c r="AL62" s="354"/>
      <c r="AM62" s="354"/>
      <c r="AN62" s="354"/>
      <c r="AO62" s="354"/>
    </row>
    <row r="63" spans="1:41" ht="15" customHeight="1">
      <c r="A63" s="320"/>
      <c r="B63" s="339"/>
      <c r="C63" s="1152" t="str">
        <f>VLOOKUP("# of same machines used in parallel:",Translations!$A:$T,MATCH(PSW!AO7,Translations!A1:P1,0),0)</f>
        <v># of same machines used in parallel:</v>
      </c>
      <c r="D63" s="1152"/>
      <c r="E63" s="1152"/>
      <c r="F63" s="1152"/>
      <c r="G63" s="1152"/>
      <c r="H63" s="1152"/>
      <c r="I63" s="1152"/>
      <c r="J63" s="1152"/>
      <c r="K63" s="1152"/>
      <c r="L63" s="1152"/>
      <c r="M63" s="1152"/>
      <c r="N63" s="1156" t="s">
        <v>365</v>
      </c>
      <c r="O63" s="1157"/>
      <c r="P63" s="1148" t="str">
        <f>VLOOKUP("explanation # of same machines",Translations!$A:$T,MATCH(PSW!AO7,Translations!A1:P1,0),0)</f>
        <v>(&gt; 1 only if more than 1 machine will be operating at the same time)</v>
      </c>
      <c r="Q63" s="1149"/>
      <c r="R63" s="1149"/>
      <c r="S63" s="1149"/>
      <c r="T63" s="1149"/>
      <c r="U63" s="1149"/>
      <c r="V63" s="1149"/>
      <c r="W63" s="1149"/>
      <c r="X63" s="1149"/>
      <c r="Y63" s="1149"/>
      <c r="Z63" s="1149"/>
      <c r="AA63" s="1149"/>
      <c r="AB63" s="1149"/>
      <c r="AC63" s="1149"/>
      <c r="AD63" s="1149"/>
      <c r="AE63" s="1150"/>
      <c r="AF63" s="356"/>
      <c r="AG63" s="356"/>
      <c r="AH63" s="356"/>
      <c r="AI63" s="356"/>
      <c r="AJ63" s="356"/>
      <c r="AK63" s="354"/>
      <c r="AL63" s="354"/>
      <c r="AM63" s="354"/>
      <c r="AN63" s="354"/>
      <c r="AO63" s="354"/>
    </row>
    <row r="64" spans="1:41" ht="6" customHeight="1">
      <c r="A64" s="320"/>
      <c r="B64" s="339"/>
      <c r="C64" s="375"/>
      <c r="D64" s="375"/>
      <c r="E64" s="375"/>
      <c r="F64" s="375"/>
      <c r="G64" s="375"/>
      <c r="H64" s="375"/>
      <c r="I64" s="375"/>
      <c r="J64" s="375"/>
      <c r="K64" s="375"/>
      <c r="L64" s="375"/>
      <c r="M64" s="375"/>
      <c r="N64" s="340"/>
      <c r="O64" s="340"/>
      <c r="P64" s="340"/>
      <c r="Q64" s="340"/>
      <c r="R64" s="340"/>
      <c r="S64" s="340"/>
      <c r="T64" s="340"/>
      <c r="U64" s="340"/>
      <c r="V64" s="340"/>
      <c r="W64" s="340"/>
      <c r="X64" s="340"/>
      <c r="Y64" s="340"/>
      <c r="Z64" s="340"/>
      <c r="AA64" s="340"/>
      <c r="AB64" s="340"/>
      <c r="AC64" s="340"/>
      <c r="AD64" s="340"/>
      <c r="AE64" s="360"/>
      <c r="AF64" s="355"/>
      <c r="AG64" s="355"/>
      <c r="AH64" s="355"/>
      <c r="AI64" s="354"/>
      <c r="AJ64" s="354"/>
      <c r="AK64" s="354"/>
      <c r="AL64" s="354"/>
      <c r="AM64" s="354"/>
      <c r="AN64" s="354"/>
      <c r="AO64" s="354"/>
    </row>
    <row r="65" spans="1:41" ht="15" customHeight="1">
      <c r="A65" s="320"/>
      <c r="B65" s="347"/>
      <c r="C65" s="1152" t="str">
        <f>VLOOKUP("# of working days per week",Translations!$A:$T,MATCH(PSW!AO7,Translations!A1:P1,0),0)</f>
        <v># of working days per week:</v>
      </c>
      <c r="D65" s="1152"/>
      <c r="E65" s="1152"/>
      <c r="F65" s="1152"/>
      <c r="G65" s="1152"/>
      <c r="H65" s="1152"/>
      <c r="I65" s="1152"/>
      <c r="J65" s="1152"/>
      <c r="K65" s="1152"/>
      <c r="L65" s="1152"/>
      <c r="M65" s="1190"/>
      <c r="N65" s="1191" t="s">
        <v>365</v>
      </c>
      <c r="O65" s="1192"/>
      <c r="P65" s="1193" t="str">
        <f>VLOOKUP("days",Translations!$A:$T,MATCH(PSW!AO7,Translations!A1:P1,0),0)</f>
        <v>days</v>
      </c>
      <c r="Q65" s="1142"/>
      <c r="R65" s="340"/>
      <c r="S65" s="340"/>
      <c r="T65" s="340"/>
      <c r="U65" s="340"/>
      <c r="V65" s="340"/>
      <c r="W65" s="340"/>
      <c r="X65" s="340"/>
      <c r="Y65" s="340"/>
      <c r="Z65" s="340"/>
      <c r="AA65" s="340"/>
      <c r="AB65" s="340"/>
      <c r="AC65" s="340"/>
      <c r="AD65" s="340"/>
      <c r="AE65" s="360"/>
      <c r="AF65" s="355"/>
      <c r="AG65" s="355"/>
      <c r="AH65" s="355"/>
      <c r="AI65" s="354"/>
      <c r="AJ65" s="354"/>
      <c r="AK65" s="354"/>
      <c r="AL65" s="354"/>
      <c r="AM65" s="354"/>
      <c r="AN65" s="354"/>
      <c r="AO65" s="354"/>
    </row>
    <row r="66" spans="1:41" ht="6" customHeight="1">
      <c r="A66" s="320"/>
      <c r="B66" s="347"/>
      <c r="C66" s="325"/>
      <c r="D66" s="375"/>
      <c r="E66" s="375"/>
      <c r="F66" s="375"/>
      <c r="G66" s="375"/>
      <c r="H66" s="375"/>
      <c r="I66" s="375"/>
      <c r="J66" s="375"/>
      <c r="K66" s="375"/>
      <c r="L66" s="375"/>
      <c r="M66" s="375"/>
      <c r="N66" s="340"/>
      <c r="O66" s="340"/>
      <c r="P66" s="340"/>
      <c r="Q66" s="340"/>
      <c r="R66" s="340"/>
      <c r="S66" s="340"/>
      <c r="T66" s="340"/>
      <c r="U66" s="340"/>
      <c r="V66" s="340"/>
      <c r="W66" s="340"/>
      <c r="X66" s="340"/>
      <c r="Y66" s="340"/>
      <c r="Z66" s="340"/>
      <c r="AA66" s="340"/>
      <c r="AB66" s="340"/>
      <c r="AC66" s="340"/>
      <c r="AD66" s="340"/>
      <c r="AE66" s="360"/>
      <c r="AF66" s="355"/>
      <c r="AG66" s="355"/>
      <c r="AH66" s="355"/>
      <c r="AI66" s="354"/>
      <c r="AJ66" s="354"/>
      <c r="AK66" s="354"/>
      <c r="AL66" s="354"/>
      <c r="AM66" s="354"/>
      <c r="AN66" s="354"/>
      <c r="AO66" s="354"/>
    </row>
    <row r="67" spans="1:41" ht="15" customHeight="1">
      <c r="A67" s="320"/>
      <c r="B67" s="347"/>
      <c r="C67" s="1152" t="str">
        <f>VLOOKUP("# of working days per year",Translations!$A:$T,MATCH(PSW!AO7,Translations!A1:P1,0),0)</f>
        <v># of working days per year:</v>
      </c>
      <c r="D67" s="1152"/>
      <c r="E67" s="1152"/>
      <c r="F67" s="1152"/>
      <c r="G67" s="1152"/>
      <c r="H67" s="1152"/>
      <c r="I67" s="1152"/>
      <c r="J67" s="1152"/>
      <c r="K67" s="1152"/>
      <c r="L67" s="1152"/>
      <c r="M67" s="1190"/>
      <c r="N67" s="1191" t="s">
        <v>365</v>
      </c>
      <c r="O67" s="1192"/>
      <c r="P67" s="1193" t="str">
        <f>VLOOKUP("days",Translations!$A:$T,MATCH(PSW!AO7,Translations!A1:P1,0),0)</f>
        <v>days</v>
      </c>
      <c r="Q67" s="1142"/>
      <c r="R67" s="340"/>
      <c r="S67" s="340"/>
      <c r="T67" s="340"/>
      <c r="U67" s="340"/>
      <c r="V67" s="340"/>
      <c r="W67" s="340"/>
      <c r="X67" s="340"/>
      <c r="Y67" s="340"/>
      <c r="Z67" s="340"/>
      <c r="AA67" s="340"/>
      <c r="AB67" s="340"/>
      <c r="AC67" s="340"/>
      <c r="AD67" s="340"/>
      <c r="AE67" s="360"/>
      <c r="AF67" s="355"/>
      <c r="AG67" s="355"/>
      <c r="AH67" s="355"/>
      <c r="AI67" s="354"/>
      <c r="AJ67" s="354"/>
      <c r="AK67" s="354"/>
      <c r="AL67" s="354"/>
      <c r="AM67" s="354"/>
      <c r="AN67" s="354"/>
      <c r="AO67" s="354"/>
    </row>
    <row r="68" spans="1:41" ht="6" customHeight="1">
      <c r="A68" s="320"/>
      <c r="B68" s="326"/>
      <c r="C68" s="326"/>
      <c r="D68" s="304"/>
      <c r="E68" s="304"/>
      <c r="F68" s="304"/>
      <c r="G68" s="304"/>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41"/>
      <c r="AF68" s="354"/>
      <c r="AG68" s="354"/>
      <c r="AH68" s="354"/>
      <c r="AI68" s="354"/>
      <c r="AJ68" s="354"/>
      <c r="AK68" s="354"/>
      <c r="AL68" s="354"/>
      <c r="AM68" s="354"/>
      <c r="AN68" s="354"/>
      <c r="AO68" s="354"/>
    </row>
    <row r="69" spans="1:41" ht="6" customHeight="1">
      <c r="A69" s="320"/>
      <c r="B69" s="348"/>
      <c r="C69" s="348"/>
      <c r="D69" s="307"/>
      <c r="E69" s="307"/>
      <c r="F69" s="307"/>
      <c r="G69" s="307"/>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329"/>
      <c r="AF69" s="241"/>
      <c r="AG69" s="241"/>
      <c r="AH69" s="241"/>
      <c r="AI69" s="241"/>
      <c r="AJ69" s="241"/>
      <c r="AK69" s="241"/>
      <c r="AL69" s="241"/>
      <c r="AM69" s="241"/>
      <c r="AN69" s="241"/>
      <c r="AO69" s="241"/>
    </row>
    <row r="70" spans="1:41" ht="15" customHeight="1" thickBot="1">
      <c r="A70" s="313"/>
      <c r="B70" s="1142" t="str">
        <f>VLOOKUP("Quantities:",Translations!$A:$T,MATCH(PSW!AO7,Translations!A1:P1,0),0)</f>
        <v>Quantities:</v>
      </c>
      <c r="C70" s="1142"/>
      <c r="D70" s="1142"/>
      <c r="E70" s="1142"/>
      <c r="F70" s="1142"/>
      <c r="G70" s="1142"/>
      <c r="H70" s="1142"/>
      <c r="I70" s="1142"/>
      <c r="J70" s="304"/>
      <c r="K70" s="304"/>
      <c r="L70" s="1189" t="e">
        <f>(M35*60-I37)*(100-N57)/100*N59/100*60/N55*N63</f>
        <v>#VALUE!</v>
      </c>
      <c r="M70" s="1189"/>
      <c r="N70" s="1189"/>
      <c r="O70" s="1189"/>
      <c r="P70" s="1142" t="str">
        <f>VLOOKUP("max. pc./shift estipolated",Translations!$A:$T,MATCH(PSW!AO7,Translations!A1:P1,0),0)</f>
        <v>max. pc. / shift estipolated</v>
      </c>
      <c r="Q70" s="1142"/>
      <c r="R70" s="1142"/>
      <c r="S70" s="1142"/>
      <c r="T70" s="1142"/>
      <c r="U70" s="1142"/>
      <c r="V70" s="1142"/>
      <c r="W70" s="1142"/>
      <c r="X70" s="1142"/>
      <c r="Y70" s="1142"/>
      <c r="Z70" s="1142"/>
      <c r="AA70" s="378"/>
      <c r="AB70" s="378"/>
      <c r="AC70" s="378"/>
      <c r="AD70" s="378"/>
      <c r="AE70" s="361"/>
      <c r="AF70" s="357"/>
      <c r="AG70" s="357"/>
      <c r="AH70" s="357"/>
      <c r="AI70" s="357"/>
      <c r="AJ70" s="357"/>
      <c r="AK70" s="357"/>
      <c r="AL70" s="357"/>
      <c r="AM70" s="357"/>
      <c r="AN70" s="357"/>
      <c r="AO70" s="241"/>
    </row>
    <row r="71" spans="1:41" ht="15" customHeight="1" thickTop="1" thickBot="1">
      <c r="A71" s="1144"/>
      <c r="B71" s="1145"/>
      <c r="C71" s="1145"/>
      <c r="D71" s="1145"/>
      <c r="E71" s="1145"/>
      <c r="F71" s="1145"/>
      <c r="G71" s="1145"/>
      <c r="H71" s="1145"/>
      <c r="I71" s="1145"/>
      <c r="J71" s="1145"/>
      <c r="K71" s="1145"/>
      <c r="L71" s="1188" t="e">
        <f>L70*N61/100</f>
        <v>#VALUE!</v>
      </c>
      <c r="M71" s="1188"/>
      <c r="N71" s="1188"/>
      <c r="O71" s="1188"/>
      <c r="P71" s="1142" t="str">
        <f>VLOOKUP("pc / shift at reserved capacity",Translations!$A:$T,MATCH(PSW!AO7,Translations!A1:P1,0),0)</f>
        <v>pc / shift at reserved capacity</v>
      </c>
      <c r="Q71" s="1142"/>
      <c r="R71" s="1142"/>
      <c r="S71" s="1142"/>
      <c r="T71" s="1142"/>
      <c r="U71" s="1142"/>
      <c r="V71" s="1142"/>
      <c r="W71" s="1142"/>
      <c r="X71" s="1142"/>
      <c r="Y71" s="1142"/>
      <c r="Z71" s="1142"/>
      <c r="AA71" s="378"/>
      <c r="AB71" s="378"/>
      <c r="AC71" s="378"/>
      <c r="AD71" s="378"/>
      <c r="AE71" s="361"/>
      <c r="AF71" s="357"/>
      <c r="AG71" s="357"/>
      <c r="AH71" s="357"/>
      <c r="AI71" s="357"/>
      <c r="AJ71" s="357"/>
      <c r="AK71" s="357"/>
      <c r="AL71" s="357"/>
      <c r="AM71" s="357"/>
      <c r="AN71" s="357"/>
      <c r="AO71" s="241"/>
    </row>
    <row r="72" spans="1:41" ht="15" customHeight="1" thickTop="1" thickBot="1">
      <c r="A72" s="1144"/>
      <c r="B72" s="1145"/>
      <c r="C72" s="1145"/>
      <c r="D72" s="1145"/>
      <c r="E72" s="1145"/>
      <c r="F72" s="1145"/>
      <c r="G72" s="1145"/>
      <c r="H72" s="1145"/>
      <c r="I72" s="1145"/>
      <c r="J72" s="1145"/>
      <c r="K72" s="1145"/>
      <c r="L72" s="1188" t="e">
        <f>L71*I35/N65</f>
        <v>#VALUE!</v>
      </c>
      <c r="M72" s="1188"/>
      <c r="N72" s="1188"/>
      <c r="O72" s="1188"/>
      <c r="P72" s="1142" t="str">
        <f>VLOOKUP("pc. / day at reserved capacity",Translations!$A:$T,MATCH(PSW!AO7,Translations!A1:P1,0),0)</f>
        <v>pc. / day at reserved capacity</v>
      </c>
      <c r="Q72" s="1142"/>
      <c r="R72" s="1142"/>
      <c r="S72" s="1142"/>
      <c r="T72" s="1142"/>
      <c r="U72" s="1142"/>
      <c r="V72" s="1142"/>
      <c r="W72" s="1142"/>
      <c r="X72" s="1142"/>
      <c r="Y72" s="1142"/>
      <c r="Z72" s="1142"/>
      <c r="AA72" s="378"/>
      <c r="AB72" s="378"/>
      <c r="AC72" s="378"/>
      <c r="AD72" s="378"/>
      <c r="AE72" s="361"/>
      <c r="AF72" s="357"/>
      <c r="AG72" s="357"/>
      <c r="AH72" s="357"/>
      <c r="AI72" s="357"/>
      <c r="AJ72" s="357"/>
      <c r="AK72" s="357"/>
      <c r="AL72" s="357"/>
      <c r="AM72" s="357"/>
      <c r="AN72" s="357"/>
      <c r="AO72" s="241"/>
    </row>
    <row r="73" spans="1:41" ht="15" customHeight="1" thickTop="1" thickBot="1">
      <c r="A73" s="1144"/>
      <c r="B73" s="1145"/>
      <c r="C73" s="1145"/>
      <c r="D73" s="1145"/>
      <c r="E73" s="1145"/>
      <c r="F73" s="1145"/>
      <c r="G73" s="1145"/>
      <c r="H73" s="1145"/>
      <c r="I73" s="1145"/>
      <c r="J73" s="1145"/>
      <c r="K73" s="1145"/>
      <c r="L73" s="1188" t="e">
        <f>L71*I35</f>
        <v>#VALUE!</v>
      </c>
      <c r="M73" s="1188"/>
      <c r="N73" s="1188"/>
      <c r="O73" s="1188"/>
      <c r="P73" s="1142" t="str">
        <f>VLOOKUP("pc. / week at reserved capacity",Translations!$A:$T,MATCH(PSW!AO7,Translations!A1:P1,0),0)</f>
        <v>pc. / week at reserved capacity</v>
      </c>
      <c r="Q73" s="1142"/>
      <c r="R73" s="1142"/>
      <c r="S73" s="1142"/>
      <c r="T73" s="1142"/>
      <c r="U73" s="1142"/>
      <c r="V73" s="1142"/>
      <c r="W73" s="1142"/>
      <c r="X73" s="1142"/>
      <c r="Y73" s="1142"/>
      <c r="Z73" s="1142"/>
      <c r="AA73" s="378"/>
      <c r="AB73" s="378"/>
      <c r="AC73" s="378"/>
      <c r="AD73" s="378"/>
      <c r="AE73" s="361"/>
      <c r="AF73" s="357"/>
      <c r="AG73" s="357"/>
      <c r="AH73" s="357"/>
      <c r="AI73" s="357"/>
      <c r="AJ73" s="357"/>
      <c r="AK73" s="357"/>
      <c r="AL73" s="357"/>
      <c r="AM73" s="357"/>
      <c r="AN73" s="357"/>
      <c r="AO73" s="241"/>
    </row>
    <row r="74" spans="1:41" ht="15" customHeight="1" thickTop="1" thickBot="1">
      <c r="A74" s="1144"/>
      <c r="B74" s="1145"/>
      <c r="C74" s="1145"/>
      <c r="D74" s="1145"/>
      <c r="E74" s="1145"/>
      <c r="F74" s="1145"/>
      <c r="G74" s="1145"/>
      <c r="H74" s="1145"/>
      <c r="I74" s="1145"/>
      <c r="J74" s="1145"/>
      <c r="K74" s="1145"/>
      <c r="L74" s="1188" t="e">
        <f>L72*N67</f>
        <v>#VALUE!</v>
      </c>
      <c r="M74" s="1188"/>
      <c r="N74" s="1188"/>
      <c r="O74" s="1188"/>
      <c r="P74" s="1142" t="str">
        <f>VLOOKUP("pc. / year at reserved capacity",Translations!$A:$T,MATCH(PSW!AO7,Translations!A1:P1,0),0)</f>
        <v>pc. / year at reserved capacity</v>
      </c>
      <c r="Q74" s="1142"/>
      <c r="R74" s="1142"/>
      <c r="S74" s="1142"/>
      <c r="T74" s="1142"/>
      <c r="U74" s="1142"/>
      <c r="V74" s="1142"/>
      <c r="W74" s="1142"/>
      <c r="X74" s="1142"/>
      <c r="Y74" s="1142"/>
      <c r="Z74" s="1142"/>
      <c r="AA74" s="378"/>
      <c r="AB74" s="378"/>
      <c r="AC74" s="378"/>
      <c r="AD74" s="378"/>
      <c r="AE74" s="361"/>
      <c r="AF74" s="357"/>
      <c r="AG74" s="357"/>
      <c r="AH74" s="357"/>
      <c r="AI74" s="357"/>
      <c r="AJ74" s="357"/>
      <c r="AK74" s="357"/>
      <c r="AL74" s="357"/>
      <c r="AM74" s="357"/>
      <c r="AN74" s="357"/>
      <c r="AO74" s="241"/>
    </row>
    <row r="75" spans="1:41" ht="6" customHeight="1" thickTop="1">
      <c r="A75" s="1146"/>
      <c r="B75" s="1147"/>
      <c r="C75" s="1147"/>
      <c r="D75" s="1147"/>
      <c r="E75" s="1147"/>
      <c r="F75" s="1147"/>
      <c r="G75" s="1147"/>
      <c r="H75" s="1147"/>
      <c r="I75" s="1147"/>
      <c r="J75" s="1147"/>
      <c r="K75" s="1147"/>
      <c r="L75" s="91"/>
      <c r="M75" s="91"/>
      <c r="N75" s="91"/>
      <c r="O75" s="91"/>
      <c r="P75" s="91"/>
      <c r="Q75" s="91"/>
      <c r="R75" s="91"/>
      <c r="S75" s="91"/>
      <c r="T75" s="91"/>
      <c r="U75" s="91"/>
      <c r="V75" s="91"/>
      <c r="W75" s="91"/>
      <c r="X75" s="91"/>
      <c r="Y75" s="91"/>
      <c r="Z75" s="91"/>
      <c r="AA75" s="91"/>
      <c r="AB75" s="91"/>
      <c r="AC75" s="91"/>
      <c r="AD75" s="91"/>
      <c r="AE75" s="317"/>
      <c r="AF75" s="241"/>
      <c r="AG75" s="241"/>
      <c r="AH75" s="241"/>
      <c r="AI75" s="241"/>
      <c r="AJ75" s="241"/>
      <c r="AK75" s="241"/>
      <c r="AL75" s="241"/>
      <c r="AM75" s="241"/>
      <c r="AN75" s="241"/>
      <c r="AO75" s="241"/>
    </row>
    <row r="76" spans="1:41" ht="14.25" customHeight="1">
      <c r="A76" s="1183" t="str">
        <f>VLOOKUP("commentssupplier1",Translations!$A:$T,MATCH(PSW!AO7,Translations!A1:P1,0),0)</f>
        <v>Comments Supplier:</v>
      </c>
      <c r="B76" s="1184"/>
      <c r="C76" s="1184"/>
      <c r="D76" s="1184"/>
      <c r="E76" s="1184"/>
      <c r="F76" s="1184"/>
      <c r="G76" s="1184"/>
      <c r="H76" s="1184"/>
      <c r="I76" s="288"/>
      <c r="J76" s="288"/>
      <c r="K76" s="288"/>
      <c r="L76" s="288"/>
      <c r="M76" s="288"/>
      <c r="N76" s="288"/>
      <c r="O76" s="288"/>
      <c r="P76" s="288"/>
      <c r="Q76" s="288"/>
      <c r="R76" s="288"/>
      <c r="S76" s="288"/>
      <c r="T76" s="288"/>
      <c r="U76" s="288"/>
      <c r="V76" s="288"/>
      <c r="W76" s="288"/>
      <c r="X76" s="288"/>
      <c r="Y76" s="288"/>
      <c r="Z76" s="288"/>
      <c r="AA76" s="288"/>
      <c r="AB76" s="288"/>
      <c r="AC76" s="288"/>
      <c r="AD76" s="288"/>
      <c r="AE76" s="329"/>
      <c r="AF76" s="241"/>
      <c r="AG76" s="241"/>
      <c r="AH76" s="241"/>
      <c r="AI76" s="241"/>
      <c r="AJ76" s="241"/>
      <c r="AK76" s="241"/>
      <c r="AL76" s="241"/>
      <c r="AM76" s="241"/>
      <c r="AN76" s="241"/>
      <c r="AO76" s="241"/>
    </row>
    <row r="77" spans="1:41" ht="99.75" customHeight="1">
      <c r="A77" s="1185"/>
      <c r="B77" s="1186"/>
      <c r="C77" s="1186"/>
      <c r="D77" s="1186"/>
      <c r="E77" s="1186"/>
      <c r="F77" s="1186"/>
      <c r="G77" s="1186"/>
      <c r="H77" s="1186"/>
      <c r="I77" s="1186"/>
      <c r="J77" s="1186"/>
      <c r="K77" s="1186"/>
      <c r="L77" s="1186"/>
      <c r="M77" s="1186"/>
      <c r="N77" s="1186"/>
      <c r="O77" s="1186"/>
      <c r="P77" s="1186"/>
      <c r="Q77" s="1186"/>
      <c r="R77" s="1186"/>
      <c r="S77" s="1186"/>
      <c r="T77" s="1186"/>
      <c r="U77" s="1186"/>
      <c r="V77" s="1186"/>
      <c r="W77" s="1186"/>
      <c r="X77" s="1186"/>
      <c r="Y77" s="1186"/>
      <c r="Z77" s="1186"/>
      <c r="AA77" s="1186"/>
      <c r="AB77" s="1186"/>
      <c r="AC77" s="1186"/>
      <c r="AD77" s="1186"/>
      <c r="AE77" s="1187"/>
      <c r="AF77" s="358"/>
      <c r="AG77" s="358"/>
      <c r="AH77" s="358"/>
      <c r="AI77" s="358"/>
      <c r="AJ77" s="358"/>
      <c r="AK77" s="358"/>
      <c r="AL77" s="358"/>
      <c r="AM77" s="358"/>
      <c r="AN77" s="358"/>
      <c r="AO77" s="358"/>
    </row>
    <row r="78" spans="1:41" ht="60" customHeight="1" thickBot="1">
      <c r="A78" s="1176" t="str">
        <f>VLOOKUP("remarks: the number of parts for the performance",Translations!$A:$T,MATCH(PSW!AO7,Translations!A1:P1,0),0)</f>
        <v>Remarks:   
The amount of parts to be produced during the Run@Rate shall be specified by the Supplier depending on actual shift model, recruitment situation, quantity needed for ramp-up, etc. If peak production level cannot be met with the current shift model, measures must be defined by the Supplier (e.g. increase of capacity with timing, reduction of scrap or rework rate, reduction of product cycle time, etc).</v>
      </c>
      <c r="B78" s="1177"/>
      <c r="C78" s="1177"/>
      <c r="D78" s="1177"/>
      <c r="E78" s="1177"/>
      <c r="F78" s="1177"/>
      <c r="G78" s="1177"/>
      <c r="H78" s="1177"/>
      <c r="I78" s="1177"/>
      <c r="J78" s="1177"/>
      <c r="K78" s="1177"/>
      <c r="L78" s="1177"/>
      <c r="M78" s="1177"/>
      <c r="N78" s="1177"/>
      <c r="O78" s="1177"/>
      <c r="P78" s="1177"/>
      <c r="Q78" s="1177"/>
      <c r="R78" s="1177"/>
      <c r="S78" s="1177"/>
      <c r="T78" s="1177"/>
      <c r="U78" s="1177"/>
      <c r="V78" s="1177"/>
      <c r="W78" s="1177"/>
      <c r="X78" s="1177"/>
      <c r="Y78" s="1177"/>
      <c r="Z78" s="1177"/>
      <c r="AA78" s="1177"/>
      <c r="AB78" s="1177"/>
      <c r="AC78" s="1177"/>
      <c r="AD78" s="1177"/>
      <c r="AE78" s="1178"/>
      <c r="AF78" s="359"/>
      <c r="AG78" s="359"/>
      <c r="AH78" s="359"/>
      <c r="AI78" s="359"/>
      <c r="AJ78" s="359"/>
      <c r="AK78" s="359"/>
      <c r="AL78" s="359"/>
      <c r="AM78" s="359"/>
      <c r="AN78" s="359"/>
      <c r="AO78" s="359"/>
    </row>
  </sheetData>
  <sheetProtection algorithmName="SHA-512" hashValue="c1zUyeeXz8HSyjFqc5+nHnnipeLaz/d8kmF1hDhvHFTaDsn2KENBovcy978x0Np2euwprkNFKLvNm6VdRWoHRQ==" saltValue="G5LfWeLDeOPAsi86EWRTFQ==" spinCount="100000" sheet="1" scenarios="1" formatCells="0" formatColumns="0" formatRows="0" insertColumns="0" insertRows="0" deleteColumns="0" deleteRows="0" selectLockedCells="1"/>
  <mergeCells count="131">
    <mergeCell ref="E4:P4"/>
    <mergeCell ref="Q4:U4"/>
    <mergeCell ref="V4:AE4"/>
    <mergeCell ref="A5:G5"/>
    <mergeCell ref="H5:P5"/>
    <mergeCell ref="Q5:V5"/>
    <mergeCell ref="Y35:AA35"/>
    <mergeCell ref="L27:M27"/>
    <mergeCell ref="P27:Q27"/>
    <mergeCell ref="L29:M29"/>
    <mergeCell ref="N29:O29"/>
    <mergeCell ref="P29:Q29"/>
    <mergeCell ref="L23:M23"/>
    <mergeCell ref="N23:O23"/>
    <mergeCell ref="P23:Q23"/>
    <mergeCell ref="L25:M25"/>
    <mergeCell ref="N25:O25"/>
    <mergeCell ref="P25:Q25"/>
    <mergeCell ref="R23:S23"/>
    <mergeCell ref="R25:S25"/>
    <mergeCell ref="R27:S27"/>
    <mergeCell ref="R29:S29"/>
    <mergeCell ref="I36:K36"/>
    <mergeCell ref="M36:O36"/>
    <mergeCell ref="Q36:W36"/>
    <mergeCell ref="B37:H38"/>
    <mergeCell ref="I37:K37"/>
    <mergeCell ref="Q37:W37"/>
    <mergeCell ref="I35:K35"/>
    <mergeCell ref="M35:O35"/>
    <mergeCell ref="Q35:W35"/>
    <mergeCell ref="B35:H36"/>
    <mergeCell ref="C42:O42"/>
    <mergeCell ref="P42:S42"/>
    <mergeCell ref="C43:O43"/>
    <mergeCell ref="P43:S43"/>
    <mergeCell ref="Y37:AA37"/>
    <mergeCell ref="I38:K38"/>
    <mergeCell ref="Q38:W38"/>
    <mergeCell ref="B40:S40"/>
    <mergeCell ref="C41:O41"/>
    <mergeCell ref="P41:S41"/>
    <mergeCell ref="U43:W43"/>
    <mergeCell ref="R61:S61"/>
    <mergeCell ref="C50:M50"/>
    <mergeCell ref="N50:Q50"/>
    <mergeCell ref="R50:W50"/>
    <mergeCell ref="C53:M53"/>
    <mergeCell ref="N53:Q53"/>
    <mergeCell ref="R53:W53"/>
    <mergeCell ref="C44:O44"/>
    <mergeCell ref="P44:S44"/>
    <mergeCell ref="B47:H47"/>
    <mergeCell ref="I47:J47"/>
    <mergeCell ref="K47:L47"/>
    <mergeCell ref="M47:O47"/>
    <mergeCell ref="P47:S47"/>
    <mergeCell ref="U47:W47"/>
    <mergeCell ref="U44:W44"/>
    <mergeCell ref="A78:AE78"/>
    <mergeCell ref="B23:F23"/>
    <mergeCell ref="B25:H26"/>
    <mergeCell ref="B27:H27"/>
    <mergeCell ref="B29:I30"/>
    <mergeCell ref="A76:H76"/>
    <mergeCell ref="B70:I70"/>
    <mergeCell ref="A77:AE77"/>
    <mergeCell ref="U41:W41"/>
    <mergeCell ref="U42:W42"/>
    <mergeCell ref="A32:AE32"/>
    <mergeCell ref="L72:O72"/>
    <mergeCell ref="L73:O73"/>
    <mergeCell ref="L74:O74"/>
    <mergeCell ref="L70:O70"/>
    <mergeCell ref="L71:O71"/>
    <mergeCell ref="C65:M65"/>
    <mergeCell ref="N65:O65"/>
    <mergeCell ref="P65:Q65"/>
    <mergeCell ref="C67:M67"/>
    <mergeCell ref="N67:O67"/>
    <mergeCell ref="P67:Q67"/>
    <mergeCell ref="C59:M59"/>
    <mergeCell ref="N59:Q59"/>
    <mergeCell ref="P1:AD3"/>
    <mergeCell ref="C21:P21"/>
    <mergeCell ref="C19:P19"/>
    <mergeCell ref="C17:P17"/>
    <mergeCell ref="B15:N15"/>
    <mergeCell ref="A11:AE11"/>
    <mergeCell ref="B13:M13"/>
    <mergeCell ref="Q21:S21"/>
    <mergeCell ref="Y21:Z21"/>
    <mergeCell ref="Q19:S19"/>
    <mergeCell ref="Y19:Z19"/>
    <mergeCell ref="Q15:S15"/>
    <mergeCell ref="Q17:S17"/>
    <mergeCell ref="Y17:Z17"/>
    <mergeCell ref="W5:AE5"/>
    <mergeCell ref="P13:S13"/>
    <mergeCell ref="H6:P6"/>
    <mergeCell ref="Q6:AE6"/>
    <mergeCell ref="M7:P7"/>
    <mergeCell ref="Q7:AE7"/>
    <mergeCell ref="A8:P9"/>
    <mergeCell ref="Q8:AE8"/>
    <mergeCell ref="Q9:AE9"/>
    <mergeCell ref="A4:D4"/>
    <mergeCell ref="Y50:AE50"/>
    <mergeCell ref="P70:Z70"/>
    <mergeCell ref="P71:Z71"/>
    <mergeCell ref="P72:Z72"/>
    <mergeCell ref="P73:Z73"/>
    <mergeCell ref="P74:Z74"/>
    <mergeCell ref="A71:K75"/>
    <mergeCell ref="P63:AE63"/>
    <mergeCell ref="U13:W13"/>
    <mergeCell ref="U15:W15"/>
    <mergeCell ref="U17:W17"/>
    <mergeCell ref="U19:W19"/>
    <mergeCell ref="U21:W21"/>
    <mergeCell ref="C61:M61"/>
    <mergeCell ref="N61:Q61"/>
    <mergeCell ref="C63:M63"/>
    <mergeCell ref="N63:O63"/>
    <mergeCell ref="C55:M55"/>
    <mergeCell ref="N55:Q55"/>
    <mergeCell ref="R55:W55"/>
    <mergeCell ref="C57:M57"/>
    <mergeCell ref="N57:Q57"/>
    <mergeCell ref="R57:S57"/>
    <mergeCell ref="R59:S59"/>
  </mergeCells>
  <printOptions horizontalCentered="1"/>
  <pageMargins left="0.6692913385826772" right="0.59055118110236227" top="0.9055118110236221" bottom="0.55000000000000004" header="0.31496062992125984" footer="0.31496062992125984"/>
  <pageSetup paperSize="9" scale="72" orientation="portrait" r:id="rId1"/>
  <headerFooter>
    <oddHeader>&amp;R&amp;G</oddHeader>
    <oddFooter>&amp;LMHG-PU-F-0018&amp;CPPAP Template ; Rev.: 01/2019&amp;RJ.-U. Liedtke / PU-SD-GA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P398"/>
  <sheetViews>
    <sheetView zoomScaleNormal="100" workbookViewId="0">
      <selection activeCell="D1" sqref="D1"/>
    </sheetView>
  </sheetViews>
  <sheetFormatPr baseColWidth="10" defaultColWidth="9.140625" defaultRowHeight="12.75"/>
  <cols>
    <col min="1" max="1" width="31.5703125" style="35" bestFit="1" customWidth="1"/>
    <col min="2" max="2" width="43" style="35" customWidth="1"/>
    <col min="3" max="4" width="44.5703125" style="35" customWidth="1"/>
    <col min="5" max="6" width="9.140625" style="35" customWidth="1"/>
    <col min="7" max="7" width="9.85546875" style="35" customWidth="1"/>
    <col min="8" max="16384" width="9.140625" style="35"/>
  </cols>
  <sheetData>
    <row r="1" spans="1:16">
      <c r="A1" s="40" t="s">
        <v>56</v>
      </c>
      <c r="B1" s="40" t="s">
        <v>57</v>
      </c>
      <c r="C1" s="40" t="s">
        <v>58</v>
      </c>
      <c r="D1" s="40" t="s">
        <v>59</v>
      </c>
      <c r="E1" s="22"/>
      <c r="F1" s="22"/>
      <c r="G1" s="22"/>
      <c r="H1" s="22"/>
      <c r="I1" s="22"/>
      <c r="J1" s="22"/>
      <c r="K1" s="22"/>
      <c r="L1" s="22"/>
      <c r="M1" s="22"/>
      <c r="N1" s="22"/>
      <c r="O1" s="22"/>
      <c r="P1" s="46"/>
    </row>
    <row r="2" spans="1:16" ht="25.5">
      <c r="A2" s="64" t="s">
        <v>466</v>
      </c>
      <c r="B2" s="64" t="s">
        <v>468</v>
      </c>
      <c r="C2" s="64" t="s">
        <v>547</v>
      </c>
      <c r="D2" s="22"/>
      <c r="E2" s="22"/>
      <c r="F2" s="22"/>
      <c r="G2" s="22"/>
      <c r="H2" s="22"/>
      <c r="I2" s="22"/>
      <c r="J2" s="22"/>
      <c r="K2" s="22"/>
      <c r="L2" s="22"/>
      <c r="M2" s="22"/>
      <c r="N2" s="22"/>
      <c r="O2" s="22"/>
      <c r="P2" s="46"/>
    </row>
    <row r="3" spans="1:16" ht="397.5" customHeight="1">
      <c r="A3" s="40" t="s">
        <v>467</v>
      </c>
      <c r="B3" s="78" t="s">
        <v>1083</v>
      </c>
      <c r="C3" s="78" t="s">
        <v>877</v>
      </c>
      <c r="D3" s="22"/>
      <c r="E3" s="262"/>
      <c r="F3" s="262"/>
      <c r="G3" s="22"/>
      <c r="H3" s="22"/>
      <c r="I3" s="22"/>
      <c r="J3" s="22"/>
      <c r="K3" s="22"/>
      <c r="L3" s="22"/>
      <c r="M3" s="22"/>
      <c r="N3" s="22"/>
      <c r="O3" s="22"/>
      <c r="P3" s="46"/>
    </row>
    <row r="4" spans="1:16">
      <c r="A4" s="22" t="s">
        <v>263</v>
      </c>
      <c r="B4" s="22" t="s">
        <v>280</v>
      </c>
      <c r="C4" s="22" t="s">
        <v>264</v>
      </c>
      <c r="D4" s="22"/>
      <c r="E4" s="22"/>
      <c r="F4" s="22"/>
      <c r="G4" s="22"/>
      <c r="H4" s="22"/>
      <c r="I4" s="22"/>
      <c r="J4" s="22"/>
      <c r="K4" s="22"/>
      <c r="L4" s="22"/>
      <c r="M4" s="22"/>
      <c r="N4" s="22"/>
      <c r="O4" s="22"/>
      <c r="P4" s="46"/>
    </row>
    <row r="5" spans="1:16">
      <c r="A5" s="39" t="s">
        <v>61</v>
      </c>
      <c r="B5" s="39" t="s">
        <v>181</v>
      </c>
      <c r="C5" s="39" t="s">
        <v>19</v>
      </c>
      <c r="D5" s="39"/>
      <c r="E5" s="39"/>
      <c r="F5" s="39"/>
      <c r="G5" s="39"/>
      <c r="H5" s="39"/>
      <c r="I5" s="39"/>
      <c r="J5" s="39"/>
      <c r="K5" s="39"/>
      <c r="L5" s="39"/>
      <c r="M5" s="39"/>
      <c r="N5" s="39"/>
      <c r="O5" s="39"/>
    </row>
    <row r="6" spans="1:16">
      <c r="A6" s="39" t="s">
        <v>62</v>
      </c>
      <c r="B6" s="39" t="s">
        <v>182</v>
      </c>
      <c r="C6" s="39" t="s">
        <v>23</v>
      </c>
      <c r="D6" s="39"/>
      <c r="E6" s="39"/>
      <c r="F6" s="39"/>
      <c r="G6" s="39"/>
      <c r="H6" s="39"/>
      <c r="I6" s="39"/>
      <c r="J6" s="39"/>
      <c r="K6" s="39"/>
      <c r="L6" s="39"/>
      <c r="M6" s="39"/>
      <c r="N6" s="39"/>
      <c r="O6" s="39"/>
    </row>
    <row r="7" spans="1:16">
      <c r="A7" s="39" t="s">
        <v>63</v>
      </c>
      <c r="B7" s="39" t="s">
        <v>1084</v>
      </c>
      <c r="C7" s="39" t="s">
        <v>266</v>
      </c>
      <c r="D7" s="39"/>
      <c r="E7" s="39"/>
      <c r="F7" s="39"/>
      <c r="G7" s="39"/>
      <c r="H7" s="39"/>
      <c r="I7" s="39"/>
      <c r="J7" s="39"/>
      <c r="K7" s="39"/>
      <c r="L7" s="39"/>
      <c r="M7" s="39"/>
      <c r="N7" s="39"/>
      <c r="O7" s="39"/>
    </row>
    <row r="8" spans="1:16">
      <c r="A8" s="39" t="s">
        <v>64</v>
      </c>
      <c r="B8" s="39" t="s">
        <v>183</v>
      </c>
      <c r="C8" s="39" t="s">
        <v>4</v>
      </c>
      <c r="D8" s="39"/>
      <c r="E8" s="39"/>
      <c r="F8" s="39"/>
      <c r="G8" s="39"/>
      <c r="H8" s="39"/>
      <c r="I8" s="39"/>
      <c r="J8" s="39"/>
      <c r="K8" s="39"/>
      <c r="L8" s="39"/>
      <c r="M8" s="39"/>
      <c r="N8" s="39"/>
      <c r="O8" s="39"/>
    </row>
    <row r="9" spans="1:16">
      <c r="A9" s="39" t="s">
        <v>65</v>
      </c>
      <c r="B9" s="39" t="s">
        <v>184</v>
      </c>
      <c r="C9" s="39" t="s">
        <v>267</v>
      </c>
      <c r="D9" s="39"/>
      <c r="E9" s="39"/>
      <c r="F9" s="39"/>
      <c r="G9" s="39"/>
      <c r="H9" s="39"/>
      <c r="I9" s="39"/>
      <c r="J9" s="39"/>
      <c r="K9" s="39"/>
      <c r="L9" s="39"/>
      <c r="M9" s="39"/>
      <c r="N9" s="39"/>
      <c r="O9" s="39"/>
    </row>
    <row r="10" spans="1:16">
      <c r="A10" s="39" t="s">
        <v>66</v>
      </c>
      <c r="B10" s="39" t="s">
        <v>185</v>
      </c>
      <c r="C10" s="39" t="s">
        <v>5</v>
      </c>
      <c r="D10" s="39"/>
      <c r="E10" s="39"/>
      <c r="F10" s="39"/>
      <c r="G10" s="39"/>
      <c r="H10" s="39"/>
      <c r="I10" s="39"/>
      <c r="J10" s="39"/>
      <c r="K10" s="39"/>
      <c r="L10" s="39"/>
      <c r="M10" s="39"/>
      <c r="N10" s="39"/>
      <c r="O10" s="39"/>
    </row>
    <row r="11" spans="1:16">
      <c r="A11" s="39" t="s">
        <v>67</v>
      </c>
      <c r="B11" s="39" t="s">
        <v>186</v>
      </c>
      <c r="C11" s="39" t="s">
        <v>2</v>
      </c>
      <c r="D11" s="39"/>
      <c r="E11" s="39"/>
      <c r="F11" s="39"/>
      <c r="G11" s="39"/>
      <c r="H11" s="39"/>
      <c r="I11" s="39"/>
      <c r="J11" s="39"/>
      <c r="K11" s="39"/>
      <c r="L11" s="39"/>
      <c r="M11" s="39"/>
      <c r="N11" s="39"/>
      <c r="O11" s="39"/>
    </row>
    <row r="12" spans="1:16">
      <c r="A12" s="39" t="s">
        <v>68</v>
      </c>
      <c r="B12" s="39" t="s">
        <v>187</v>
      </c>
      <c r="C12" s="39" t="s">
        <v>3</v>
      </c>
      <c r="D12" s="39"/>
      <c r="E12" s="39"/>
      <c r="F12" s="39"/>
      <c r="G12" s="39"/>
      <c r="H12" s="39"/>
      <c r="I12" s="39"/>
      <c r="J12" s="39"/>
      <c r="K12" s="39"/>
      <c r="L12" s="39"/>
      <c r="M12" s="39"/>
      <c r="N12" s="39"/>
      <c r="O12" s="39"/>
    </row>
    <row r="13" spans="1:16">
      <c r="A13" s="39" t="s">
        <v>69</v>
      </c>
      <c r="B13" s="39" t="s">
        <v>188</v>
      </c>
      <c r="C13" s="39" t="s">
        <v>24</v>
      </c>
      <c r="D13" s="39"/>
      <c r="E13" s="39"/>
      <c r="F13" s="39"/>
      <c r="G13" s="39"/>
      <c r="H13" s="39"/>
      <c r="I13" s="39"/>
      <c r="J13" s="39"/>
      <c r="K13" s="39"/>
      <c r="L13" s="39"/>
      <c r="M13" s="39"/>
      <c r="N13" s="39"/>
      <c r="O13" s="39"/>
    </row>
    <row r="14" spans="1:16">
      <c r="A14" s="39" t="s">
        <v>70</v>
      </c>
      <c r="B14" s="39" t="s">
        <v>189</v>
      </c>
      <c r="C14" s="39" t="s">
        <v>0</v>
      </c>
      <c r="D14" s="39"/>
      <c r="E14" s="39"/>
      <c r="F14" s="39"/>
      <c r="G14" s="39"/>
      <c r="H14" s="39"/>
      <c r="I14" s="39"/>
      <c r="J14" s="39"/>
      <c r="K14" s="39"/>
      <c r="L14" s="39"/>
      <c r="M14" s="39"/>
      <c r="N14" s="39"/>
      <c r="O14" s="39"/>
    </row>
    <row r="15" spans="1:16">
      <c r="A15" s="39" t="s">
        <v>71</v>
      </c>
      <c r="B15" s="39" t="s">
        <v>190</v>
      </c>
      <c r="C15" s="39" t="s">
        <v>1</v>
      </c>
      <c r="D15" s="39"/>
      <c r="E15" s="39"/>
      <c r="F15" s="39"/>
      <c r="G15" s="39"/>
      <c r="H15" s="39"/>
      <c r="I15" s="39"/>
      <c r="J15" s="39"/>
      <c r="K15" s="39"/>
      <c r="L15" s="39"/>
      <c r="M15" s="39"/>
      <c r="N15" s="39"/>
      <c r="O15" s="39"/>
    </row>
    <row r="16" spans="1:16">
      <c r="A16" s="39" t="s">
        <v>72</v>
      </c>
      <c r="B16" s="39" t="s">
        <v>191</v>
      </c>
      <c r="C16" s="39" t="s">
        <v>25</v>
      </c>
      <c r="D16" s="39"/>
      <c r="E16" s="39"/>
      <c r="F16" s="39"/>
      <c r="G16" s="39"/>
      <c r="H16" s="39"/>
      <c r="I16" s="39"/>
      <c r="J16" s="39"/>
      <c r="K16" s="39"/>
      <c r="L16" s="39"/>
      <c r="M16" s="39"/>
      <c r="N16" s="39"/>
      <c r="O16" s="39"/>
    </row>
    <row r="17" spans="1:15">
      <c r="A17" s="39" t="s">
        <v>73</v>
      </c>
      <c r="B17" s="39" t="s">
        <v>893</v>
      </c>
      <c r="C17" s="39" t="s">
        <v>894</v>
      </c>
      <c r="D17" s="39"/>
      <c r="E17" s="39"/>
      <c r="F17" s="39"/>
      <c r="G17" s="39"/>
      <c r="H17" s="39"/>
      <c r="I17" s="39"/>
      <c r="J17" s="39"/>
      <c r="K17" s="39"/>
      <c r="L17" s="39"/>
      <c r="M17" s="39"/>
      <c r="N17" s="39"/>
      <c r="O17" s="39"/>
    </row>
    <row r="18" spans="1:15">
      <c r="A18" s="39" t="s">
        <v>74</v>
      </c>
      <c r="B18" s="39" t="s">
        <v>260</v>
      </c>
      <c r="C18" s="39" t="s">
        <v>265</v>
      </c>
      <c r="D18" s="39"/>
      <c r="E18" s="39"/>
      <c r="F18" s="39"/>
      <c r="G18" s="39"/>
      <c r="H18" s="39"/>
      <c r="I18" s="39"/>
      <c r="J18" s="39"/>
      <c r="K18" s="39"/>
      <c r="L18" s="39"/>
      <c r="M18" s="39"/>
      <c r="N18" s="39"/>
      <c r="O18" s="39"/>
    </row>
    <row r="19" spans="1:15">
      <c r="A19" s="39" t="s">
        <v>75</v>
      </c>
      <c r="B19" s="39" t="s">
        <v>243</v>
      </c>
      <c r="C19" s="39" t="s">
        <v>26</v>
      </c>
      <c r="D19" s="39"/>
      <c r="E19" s="39"/>
      <c r="F19" s="39"/>
      <c r="G19" s="39"/>
      <c r="H19" s="39"/>
      <c r="I19" s="39"/>
      <c r="J19" s="39"/>
      <c r="K19" s="39"/>
      <c r="L19" s="39"/>
      <c r="M19" s="39"/>
      <c r="N19" s="39"/>
      <c r="O19" s="39"/>
    </row>
    <row r="20" spans="1:15" ht="25.5">
      <c r="A20" s="39" t="s">
        <v>76</v>
      </c>
      <c r="B20" s="39" t="s">
        <v>261</v>
      </c>
      <c r="C20" s="39" t="s">
        <v>180</v>
      </c>
      <c r="D20" s="39"/>
      <c r="E20" s="39"/>
      <c r="F20" s="39"/>
      <c r="G20" s="39"/>
      <c r="H20" s="39"/>
      <c r="I20" s="39"/>
      <c r="J20" s="39"/>
      <c r="K20" s="39"/>
      <c r="L20" s="39"/>
      <c r="M20" s="39"/>
      <c r="N20" s="39"/>
      <c r="O20" s="39"/>
    </row>
    <row r="21" spans="1:15">
      <c r="A21" s="39" t="s">
        <v>77</v>
      </c>
      <c r="B21" s="39" t="s">
        <v>244</v>
      </c>
      <c r="C21" s="39" t="s">
        <v>27</v>
      </c>
      <c r="D21" s="39"/>
      <c r="E21" s="39"/>
      <c r="F21" s="39"/>
      <c r="G21" s="39"/>
      <c r="H21" s="39"/>
      <c r="I21" s="39"/>
      <c r="J21" s="39"/>
      <c r="K21" s="39"/>
      <c r="L21" s="39"/>
      <c r="M21" s="39"/>
      <c r="N21" s="39"/>
      <c r="O21" s="39"/>
    </row>
    <row r="22" spans="1:15">
      <c r="A22" s="39" t="s">
        <v>78</v>
      </c>
      <c r="B22" s="39" t="s">
        <v>262</v>
      </c>
      <c r="C22" s="39" t="s">
        <v>268</v>
      </c>
      <c r="D22" s="39"/>
      <c r="E22" s="39"/>
      <c r="F22" s="39"/>
      <c r="G22" s="39"/>
      <c r="H22" s="39"/>
      <c r="I22" s="39"/>
      <c r="J22" s="39"/>
      <c r="K22" s="39"/>
      <c r="L22" s="39"/>
      <c r="M22" s="39"/>
      <c r="N22" s="39"/>
      <c r="O22" s="39"/>
    </row>
    <row r="23" spans="1:15">
      <c r="A23" s="39" t="s">
        <v>79</v>
      </c>
      <c r="B23" s="39" t="s">
        <v>192</v>
      </c>
      <c r="C23" s="39" t="s">
        <v>179</v>
      </c>
      <c r="D23" s="39"/>
      <c r="E23" s="39"/>
      <c r="F23" s="39"/>
      <c r="G23" s="39"/>
      <c r="H23" s="39"/>
      <c r="I23" s="39"/>
      <c r="J23" s="39"/>
      <c r="K23" s="39"/>
      <c r="L23" s="39"/>
      <c r="M23" s="39"/>
      <c r="N23" s="39"/>
      <c r="O23" s="39"/>
    </row>
    <row r="24" spans="1:15">
      <c r="A24" s="39" t="s">
        <v>80</v>
      </c>
      <c r="B24" s="39" t="s">
        <v>193</v>
      </c>
      <c r="C24" s="39" t="s">
        <v>1087</v>
      </c>
      <c r="D24" s="39"/>
      <c r="E24" s="39"/>
      <c r="F24" s="39"/>
      <c r="G24" s="39"/>
      <c r="H24" s="39"/>
      <c r="I24" s="39"/>
      <c r="J24" s="39"/>
      <c r="K24" s="39"/>
      <c r="L24" s="39"/>
      <c r="M24" s="39"/>
      <c r="N24" s="39"/>
      <c r="O24" s="39"/>
    </row>
    <row r="25" spans="1:15">
      <c r="A25" s="39" t="s">
        <v>81</v>
      </c>
      <c r="B25" s="39" t="s">
        <v>194</v>
      </c>
      <c r="C25" s="39" t="s">
        <v>178</v>
      </c>
      <c r="D25" s="39"/>
      <c r="E25" s="39"/>
      <c r="F25" s="39"/>
      <c r="G25" s="39"/>
      <c r="H25" s="39"/>
      <c r="I25" s="39"/>
      <c r="J25" s="39"/>
      <c r="K25" s="39"/>
      <c r="L25" s="39"/>
      <c r="M25" s="39"/>
      <c r="N25" s="39"/>
      <c r="O25" s="39"/>
    </row>
    <row r="26" spans="1:15">
      <c r="A26" s="39" t="s">
        <v>82</v>
      </c>
      <c r="B26" s="39" t="s">
        <v>195</v>
      </c>
      <c r="C26" s="39" t="s">
        <v>177</v>
      </c>
      <c r="D26" s="39"/>
      <c r="E26" s="39"/>
      <c r="F26" s="39"/>
      <c r="G26" s="39"/>
      <c r="H26" s="39"/>
      <c r="I26" s="39"/>
      <c r="J26" s="39"/>
      <c r="K26" s="39"/>
      <c r="L26" s="39"/>
      <c r="M26" s="39"/>
      <c r="N26" s="39"/>
      <c r="O26" s="39"/>
    </row>
    <row r="27" spans="1:15">
      <c r="A27" s="39" t="s">
        <v>83</v>
      </c>
      <c r="B27" s="39" t="s">
        <v>176</v>
      </c>
      <c r="C27" s="39" t="s">
        <v>176</v>
      </c>
      <c r="D27" s="39"/>
      <c r="E27" s="39"/>
      <c r="F27" s="39"/>
      <c r="G27" s="39"/>
      <c r="H27" s="39"/>
      <c r="I27" s="39"/>
      <c r="J27" s="39"/>
      <c r="K27" s="39"/>
      <c r="L27" s="39"/>
      <c r="M27" s="39"/>
      <c r="N27" s="39"/>
      <c r="O27" s="39"/>
    </row>
    <row r="28" spans="1:15">
      <c r="A28" s="39" t="s">
        <v>84</v>
      </c>
      <c r="B28" s="39" t="s">
        <v>196</v>
      </c>
      <c r="C28" s="39" t="s">
        <v>175</v>
      </c>
      <c r="D28" s="39"/>
      <c r="E28" s="39"/>
      <c r="F28" s="39"/>
      <c r="G28" s="39"/>
      <c r="H28" s="39"/>
      <c r="I28" s="39"/>
      <c r="J28" s="39"/>
      <c r="K28" s="39"/>
      <c r="L28" s="39"/>
      <c r="M28" s="39"/>
      <c r="N28" s="39"/>
      <c r="O28" s="39"/>
    </row>
    <row r="29" spans="1:15">
      <c r="A29" s="39" t="s">
        <v>85</v>
      </c>
      <c r="B29" s="39" t="s">
        <v>197</v>
      </c>
      <c r="C29" s="39" t="s">
        <v>174</v>
      </c>
      <c r="D29" s="39"/>
      <c r="E29" s="39"/>
      <c r="F29" s="39"/>
      <c r="G29" s="39"/>
      <c r="H29" s="39"/>
      <c r="I29" s="39"/>
      <c r="J29" s="39"/>
      <c r="K29" s="39"/>
      <c r="L29" s="39"/>
      <c r="M29" s="39"/>
      <c r="N29" s="39"/>
      <c r="O29" s="39"/>
    </row>
    <row r="30" spans="1:15">
      <c r="A30" s="39" t="s">
        <v>86</v>
      </c>
      <c r="B30" s="39" t="s">
        <v>198</v>
      </c>
      <c r="C30" s="39" t="s">
        <v>6</v>
      </c>
      <c r="D30" s="39"/>
      <c r="E30" s="39"/>
      <c r="F30" s="39"/>
      <c r="G30" s="39"/>
      <c r="H30" s="39"/>
      <c r="I30" s="39"/>
      <c r="J30" s="39"/>
      <c r="K30" s="39"/>
      <c r="L30" s="39"/>
      <c r="M30" s="39"/>
      <c r="N30" s="39"/>
      <c r="O30" s="39"/>
    </row>
    <row r="31" spans="1:15">
      <c r="A31" s="39" t="s">
        <v>87</v>
      </c>
      <c r="B31" s="39" t="s">
        <v>199</v>
      </c>
      <c r="C31" s="39" t="s">
        <v>28</v>
      </c>
      <c r="D31" s="39"/>
      <c r="E31" s="39"/>
      <c r="F31" s="39"/>
      <c r="G31" s="39"/>
      <c r="H31" s="39"/>
      <c r="I31" s="39"/>
      <c r="J31" s="39"/>
      <c r="K31" s="39"/>
      <c r="L31" s="39"/>
      <c r="M31" s="39"/>
      <c r="N31" s="39"/>
      <c r="O31" s="39"/>
    </row>
    <row r="32" spans="1:15" ht="25.5">
      <c r="A32" s="39" t="s">
        <v>88</v>
      </c>
      <c r="B32" s="39" t="s">
        <v>200</v>
      </c>
      <c r="C32" s="39" t="s">
        <v>36</v>
      </c>
      <c r="D32" s="39"/>
      <c r="E32" s="39"/>
      <c r="F32" s="39"/>
      <c r="G32" s="39"/>
      <c r="H32" s="39"/>
      <c r="I32" s="39"/>
      <c r="J32" s="39"/>
      <c r="K32" s="39"/>
      <c r="L32" s="39"/>
      <c r="M32" s="39"/>
      <c r="N32" s="39"/>
      <c r="O32" s="39"/>
    </row>
    <row r="33" spans="1:15">
      <c r="A33" s="39" t="s">
        <v>89</v>
      </c>
      <c r="B33" s="39" t="s">
        <v>29</v>
      </c>
      <c r="C33" s="39" t="s">
        <v>29</v>
      </c>
      <c r="D33" s="39"/>
      <c r="E33" s="39"/>
      <c r="F33" s="39"/>
      <c r="G33" s="39"/>
      <c r="H33" s="39"/>
      <c r="I33" s="39"/>
      <c r="J33" s="39"/>
      <c r="K33" s="39"/>
      <c r="L33" s="39"/>
      <c r="M33" s="39"/>
      <c r="N33" s="39"/>
      <c r="O33" s="39"/>
    </row>
    <row r="34" spans="1:15" ht="25.5">
      <c r="A34" s="39" t="s">
        <v>90</v>
      </c>
      <c r="B34" s="39" t="s">
        <v>245</v>
      </c>
      <c r="C34" s="39" t="s">
        <v>30</v>
      </c>
      <c r="D34" s="39"/>
      <c r="E34" s="39"/>
      <c r="F34" s="39"/>
      <c r="G34" s="39"/>
      <c r="H34" s="39"/>
      <c r="I34" s="39"/>
      <c r="J34" s="39"/>
      <c r="K34" s="39"/>
      <c r="L34" s="39"/>
      <c r="M34" s="39"/>
      <c r="N34" s="39"/>
      <c r="O34" s="39"/>
    </row>
    <row r="35" spans="1:15" ht="38.25">
      <c r="A35" s="39" t="s">
        <v>269</v>
      </c>
      <c r="B35" s="39" t="s">
        <v>284</v>
      </c>
      <c r="C35" s="39" t="s">
        <v>283</v>
      </c>
      <c r="D35" s="39"/>
      <c r="E35" s="39"/>
      <c r="F35" s="39"/>
      <c r="G35" s="39"/>
      <c r="H35" s="39"/>
      <c r="I35" s="39"/>
      <c r="J35" s="39"/>
      <c r="K35" s="39"/>
      <c r="L35" s="39"/>
      <c r="M35" s="39"/>
      <c r="N35" s="39"/>
      <c r="O35" s="39"/>
    </row>
    <row r="36" spans="1:15" ht="25.5">
      <c r="A36" s="39" t="s">
        <v>91</v>
      </c>
      <c r="B36" s="39" t="s">
        <v>246</v>
      </c>
      <c r="C36" s="39" t="s">
        <v>31</v>
      </c>
      <c r="D36" s="39"/>
      <c r="E36" s="39"/>
      <c r="F36" s="39"/>
      <c r="G36" s="39"/>
      <c r="H36" s="39"/>
      <c r="I36" s="39"/>
      <c r="J36" s="39"/>
      <c r="K36" s="39"/>
      <c r="L36" s="39"/>
      <c r="M36" s="39"/>
      <c r="N36" s="39"/>
      <c r="O36" s="39"/>
    </row>
    <row r="37" spans="1:15" ht="25.5">
      <c r="A37" s="39" t="s">
        <v>92</v>
      </c>
      <c r="B37" s="39" t="s">
        <v>201</v>
      </c>
      <c r="C37" s="39" t="s">
        <v>173</v>
      </c>
      <c r="D37" s="39"/>
      <c r="E37" s="39"/>
      <c r="F37" s="39"/>
      <c r="G37" s="39"/>
      <c r="H37" s="39"/>
      <c r="I37" s="39"/>
      <c r="J37" s="39"/>
      <c r="K37" s="39"/>
      <c r="L37" s="39"/>
      <c r="M37" s="39"/>
      <c r="N37" s="39"/>
      <c r="O37" s="39"/>
    </row>
    <row r="38" spans="1:15">
      <c r="A38" s="39" t="s">
        <v>93</v>
      </c>
      <c r="B38" s="39" t="s">
        <v>202</v>
      </c>
      <c r="C38" s="39" t="s">
        <v>37</v>
      </c>
      <c r="D38" s="39"/>
      <c r="E38" s="39"/>
      <c r="F38" s="39"/>
      <c r="G38" s="39"/>
      <c r="H38" s="39"/>
      <c r="I38" s="39"/>
      <c r="J38" s="39"/>
      <c r="K38" s="39"/>
      <c r="L38" s="39"/>
      <c r="M38" s="39"/>
      <c r="N38" s="39"/>
      <c r="O38" s="39"/>
    </row>
    <row r="39" spans="1:15">
      <c r="A39" s="39" t="s">
        <v>94</v>
      </c>
      <c r="B39" s="39" t="s">
        <v>203</v>
      </c>
      <c r="C39" s="39" t="s">
        <v>7</v>
      </c>
      <c r="D39" s="39"/>
      <c r="E39" s="39"/>
      <c r="F39" s="39"/>
      <c r="G39" s="39"/>
      <c r="H39" s="39"/>
      <c r="I39" s="39"/>
      <c r="J39" s="39"/>
      <c r="K39" s="39"/>
      <c r="L39" s="39"/>
      <c r="M39" s="39"/>
      <c r="N39" s="39"/>
      <c r="O39" s="39"/>
    </row>
    <row r="40" spans="1:15" ht="25.5">
      <c r="A40" s="39" t="s">
        <v>95</v>
      </c>
      <c r="B40" s="39" t="s">
        <v>1085</v>
      </c>
      <c r="C40" s="39" t="s">
        <v>1086</v>
      </c>
      <c r="D40" s="39"/>
      <c r="E40" s="39"/>
      <c r="F40" s="39"/>
      <c r="G40" s="39"/>
      <c r="H40" s="39"/>
      <c r="I40" s="39"/>
      <c r="J40" s="39"/>
      <c r="K40" s="39"/>
      <c r="L40" s="39"/>
      <c r="M40" s="39"/>
      <c r="N40" s="39"/>
      <c r="O40" s="39"/>
    </row>
    <row r="41" spans="1:15">
      <c r="A41" s="39" t="s">
        <v>96</v>
      </c>
      <c r="B41" s="39" t="s">
        <v>247</v>
      </c>
      <c r="C41" s="39" t="s">
        <v>10</v>
      </c>
      <c r="D41" s="39"/>
      <c r="E41" s="39"/>
      <c r="F41" s="39"/>
      <c r="G41" s="39"/>
      <c r="H41" s="39"/>
      <c r="I41" s="39"/>
      <c r="J41" s="39"/>
      <c r="K41" s="39"/>
      <c r="L41" s="39"/>
      <c r="M41" s="39"/>
      <c r="N41" s="39"/>
      <c r="O41" s="39"/>
    </row>
    <row r="42" spans="1:15">
      <c r="A42" s="39" t="s">
        <v>97</v>
      </c>
      <c r="B42" s="39" t="s">
        <v>248</v>
      </c>
      <c r="C42" s="39" t="s">
        <v>32</v>
      </c>
      <c r="D42" s="39"/>
      <c r="E42" s="39"/>
      <c r="F42" s="39"/>
      <c r="G42" s="39"/>
      <c r="H42" s="39"/>
      <c r="I42" s="39"/>
      <c r="J42" s="39"/>
      <c r="K42" s="39"/>
      <c r="L42" s="39"/>
      <c r="M42" s="39"/>
      <c r="N42" s="39"/>
      <c r="O42" s="39"/>
    </row>
    <row r="43" spans="1:15" ht="25.5">
      <c r="A43" s="39" t="s">
        <v>98</v>
      </c>
      <c r="B43" s="39" t="s">
        <v>249</v>
      </c>
      <c r="C43" s="39" t="s">
        <v>8</v>
      </c>
      <c r="D43" s="39"/>
      <c r="E43" s="39"/>
      <c r="F43" s="39"/>
      <c r="G43" s="39"/>
      <c r="H43" s="39"/>
      <c r="I43" s="39"/>
      <c r="J43" s="39"/>
      <c r="K43" s="39"/>
      <c r="L43" s="39"/>
      <c r="M43" s="39"/>
      <c r="N43" s="39"/>
      <c r="O43" s="39"/>
    </row>
    <row r="44" spans="1:15" ht="25.5">
      <c r="A44" s="39" t="s">
        <v>99</v>
      </c>
      <c r="B44" s="39" t="s">
        <v>250</v>
      </c>
      <c r="C44" s="39" t="s">
        <v>270</v>
      </c>
      <c r="D44" s="39"/>
      <c r="E44" s="39"/>
      <c r="F44" s="39"/>
      <c r="G44" s="39"/>
      <c r="H44" s="39"/>
      <c r="I44" s="39"/>
      <c r="J44" s="39"/>
      <c r="K44" s="39"/>
      <c r="L44" s="39"/>
      <c r="M44" s="39"/>
      <c r="N44" s="39"/>
      <c r="O44" s="39"/>
    </row>
    <row r="45" spans="1:15">
      <c r="A45" s="39" t="s">
        <v>100</v>
      </c>
      <c r="B45" s="39" t="s">
        <v>251</v>
      </c>
      <c r="C45" s="39" t="s">
        <v>9</v>
      </c>
      <c r="D45" s="39"/>
      <c r="E45" s="39"/>
      <c r="F45" s="39"/>
      <c r="G45" s="39"/>
      <c r="H45" s="39"/>
      <c r="I45" s="39"/>
      <c r="J45" s="39"/>
      <c r="K45" s="39"/>
      <c r="L45" s="39"/>
      <c r="M45" s="39"/>
      <c r="N45" s="39"/>
      <c r="O45" s="39"/>
    </row>
    <row r="46" spans="1:15" ht="25.5">
      <c r="A46" s="39" t="s">
        <v>101</v>
      </c>
      <c r="B46" s="39" t="s">
        <v>204</v>
      </c>
      <c r="C46" s="39" t="s">
        <v>172</v>
      </c>
      <c r="D46" s="39"/>
      <c r="E46" s="39"/>
      <c r="F46" s="39"/>
      <c r="G46" s="39"/>
      <c r="H46" s="39"/>
      <c r="I46" s="39"/>
      <c r="J46" s="39"/>
      <c r="K46" s="39"/>
      <c r="L46" s="39"/>
      <c r="M46" s="39"/>
      <c r="N46" s="39"/>
      <c r="O46" s="39"/>
    </row>
    <row r="47" spans="1:15">
      <c r="A47" s="39" t="s">
        <v>102</v>
      </c>
      <c r="B47" s="39" t="s">
        <v>205</v>
      </c>
      <c r="C47" s="39" t="s">
        <v>271</v>
      </c>
      <c r="D47" s="39"/>
      <c r="E47" s="39"/>
      <c r="F47" s="39"/>
      <c r="G47" s="39"/>
      <c r="H47" s="39"/>
      <c r="I47" s="39"/>
      <c r="J47" s="39"/>
      <c r="K47" s="39"/>
      <c r="L47" s="39"/>
      <c r="M47" s="39"/>
      <c r="N47" s="39"/>
      <c r="O47" s="39"/>
    </row>
    <row r="48" spans="1:15" ht="25.5">
      <c r="A48" s="39" t="s">
        <v>103</v>
      </c>
      <c r="B48" s="39" t="s">
        <v>206</v>
      </c>
      <c r="C48" s="39" t="s">
        <v>11</v>
      </c>
      <c r="D48" s="39"/>
      <c r="E48" s="39"/>
      <c r="F48" s="39"/>
      <c r="G48" s="39"/>
      <c r="H48" s="39"/>
      <c r="I48" s="39"/>
      <c r="J48" s="39"/>
      <c r="K48" s="39"/>
      <c r="L48" s="39"/>
      <c r="M48" s="39"/>
      <c r="N48" s="39"/>
      <c r="O48" s="39"/>
    </row>
    <row r="49" spans="1:15" ht="38.25">
      <c r="A49" s="39" t="s">
        <v>104</v>
      </c>
      <c r="B49" s="39" t="s">
        <v>1088</v>
      </c>
      <c r="C49" s="39" t="s">
        <v>1097</v>
      </c>
      <c r="D49" s="39"/>
      <c r="E49" s="39"/>
      <c r="F49" s="39"/>
      <c r="G49" s="39"/>
      <c r="H49" s="39"/>
      <c r="I49" s="39"/>
      <c r="J49" s="39"/>
      <c r="K49" s="39"/>
      <c r="L49" s="39"/>
      <c r="M49" s="39"/>
      <c r="N49" s="39"/>
      <c r="O49" s="39"/>
    </row>
    <row r="50" spans="1:15" ht="38.25">
      <c r="A50" s="39" t="s">
        <v>105</v>
      </c>
      <c r="B50" s="39" t="s">
        <v>1089</v>
      </c>
      <c r="C50" s="39" t="s">
        <v>1096</v>
      </c>
      <c r="D50" s="39"/>
      <c r="E50" s="39"/>
      <c r="F50" s="39"/>
      <c r="G50" s="39"/>
      <c r="H50" s="39"/>
      <c r="I50" s="39"/>
      <c r="J50" s="39"/>
      <c r="K50" s="39"/>
      <c r="L50" s="39"/>
      <c r="M50" s="39"/>
      <c r="N50" s="39"/>
      <c r="O50" s="39"/>
    </row>
    <row r="51" spans="1:15" ht="38.25">
      <c r="A51" s="39" t="s">
        <v>106</v>
      </c>
      <c r="B51" s="39" t="s">
        <v>1090</v>
      </c>
      <c r="C51" s="39" t="s">
        <v>1095</v>
      </c>
      <c r="D51" s="39"/>
      <c r="E51" s="39"/>
      <c r="F51" s="39"/>
      <c r="G51" s="39"/>
      <c r="H51" s="39"/>
      <c r="I51" s="39"/>
      <c r="J51" s="39"/>
      <c r="K51" s="39"/>
      <c r="L51" s="39"/>
      <c r="M51" s="39"/>
      <c r="N51" s="39"/>
      <c r="O51" s="39"/>
    </row>
    <row r="52" spans="1:15" ht="25.5">
      <c r="A52" s="39" t="s">
        <v>107</v>
      </c>
      <c r="B52" s="39" t="s">
        <v>1091</v>
      </c>
      <c r="C52" s="39" t="s">
        <v>1094</v>
      </c>
      <c r="D52" s="39"/>
      <c r="E52" s="39"/>
      <c r="F52" s="39"/>
      <c r="G52" s="39"/>
      <c r="H52" s="39"/>
      <c r="I52" s="39"/>
      <c r="J52" s="39"/>
      <c r="K52" s="39"/>
      <c r="L52" s="39"/>
      <c r="M52" s="39"/>
      <c r="N52" s="39"/>
      <c r="O52" s="39"/>
    </row>
    <row r="53" spans="1:15" ht="51">
      <c r="A53" s="39" t="s">
        <v>108</v>
      </c>
      <c r="B53" s="39" t="s">
        <v>1092</v>
      </c>
      <c r="C53" s="39" t="s">
        <v>1093</v>
      </c>
      <c r="D53" s="39"/>
      <c r="E53" s="39"/>
      <c r="F53" s="39"/>
      <c r="G53" s="39"/>
      <c r="H53" s="39"/>
      <c r="I53" s="39"/>
      <c r="J53" s="39"/>
      <c r="K53" s="39"/>
      <c r="L53" s="39"/>
      <c r="M53" s="39"/>
      <c r="N53" s="39"/>
      <c r="O53" s="39"/>
    </row>
    <row r="54" spans="1:15">
      <c r="A54" s="39" t="s">
        <v>109</v>
      </c>
      <c r="B54" s="39" t="s">
        <v>207</v>
      </c>
      <c r="C54" s="39" t="s">
        <v>12</v>
      </c>
      <c r="D54" s="39"/>
      <c r="E54" s="39"/>
      <c r="F54" s="39"/>
      <c r="G54" s="39"/>
      <c r="H54" s="39"/>
      <c r="I54" s="39"/>
      <c r="J54" s="39"/>
      <c r="K54" s="39"/>
      <c r="L54" s="39"/>
      <c r="M54" s="39"/>
      <c r="N54" s="39"/>
      <c r="O54" s="39"/>
    </row>
    <row r="55" spans="1:15">
      <c r="A55" s="39" t="s">
        <v>110</v>
      </c>
      <c r="B55" s="39" t="s">
        <v>208</v>
      </c>
      <c r="C55" s="39" t="s">
        <v>272</v>
      </c>
      <c r="D55" s="39"/>
      <c r="E55" s="39"/>
      <c r="F55" s="39"/>
      <c r="G55" s="39"/>
      <c r="H55" s="39"/>
      <c r="I55" s="39"/>
      <c r="J55" s="39"/>
      <c r="K55" s="39"/>
      <c r="L55" s="39"/>
      <c r="M55" s="39"/>
      <c r="N55" s="39"/>
      <c r="O55" s="39"/>
    </row>
    <row r="56" spans="1:15">
      <c r="A56" s="39" t="s">
        <v>111</v>
      </c>
      <c r="B56" s="39" t="s">
        <v>209</v>
      </c>
      <c r="C56" s="39" t="s">
        <v>171</v>
      </c>
      <c r="D56" s="39"/>
      <c r="E56" s="39"/>
      <c r="F56" s="39"/>
      <c r="G56" s="39"/>
      <c r="H56" s="39"/>
      <c r="I56" s="39"/>
      <c r="J56" s="39"/>
      <c r="K56" s="39"/>
      <c r="L56" s="39"/>
      <c r="M56" s="39"/>
      <c r="N56" s="39"/>
      <c r="O56" s="39"/>
    </row>
    <row r="57" spans="1:15">
      <c r="A57" s="39" t="s">
        <v>112</v>
      </c>
      <c r="B57" s="39" t="s">
        <v>844</v>
      </c>
      <c r="C57" s="39" t="s">
        <v>845</v>
      </c>
      <c r="D57" s="39"/>
      <c r="E57" s="39"/>
      <c r="F57" s="39"/>
      <c r="G57" s="39"/>
      <c r="H57" s="39"/>
      <c r="I57" s="39"/>
      <c r="J57" s="39"/>
      <c r="K57" s="39"/>
      <c r="L57" s="39"/>
      <c r="M57" s="39"/>
      <c r="N57" s="39"/>
      <c r="O57" s="39"/>
    </row>
    <row r="58" spans="1:15">
      <c r="A58" s="39" t="s">
        <v>113</v>
      </c>
      <c r="B58" s="39" t="s">
        <v>252</v>
      </c>
      <c r="C58" s="39" t="s">
        <v>170</v>
      </c>
      <c r="D58" s="39"/>
      <c r="E58" s="39"/>
      <c r="F58" s="39"/>
      <c r="G58" s="39"/>
      <c r="H58" s="39"/>
      <c r="I58" s="39"/>
      <c r="J58" s="39"/>
      <c r="K58" s="39"/>
      <c r="L58" s="39"/>
      <c r="M58" s="39"/>
      <c r="N58" s="39"/>
      <c r="O58" s="39"/>
    </row>
    <row r="59" spans="1:15">
      <c r="A59" s="39" t="s">
        <v>114</v>
      </c>
      <c r="B59" s="39" t="s">
        <v>253</v>
      </c>
      <c r="C59" s="39" t="s">
        <v>169</v>
      </c>
      <c r="D59" s="39"/>
      <c r="E59" s="39"/>
      <c r="F59" s="39"/>
      <c r="G59" s="39"/>
      <c r="H59" s="39"/>
      <c r="I59" s="39"/>
      <c r="J59" s="39"/>
      <c r="K59" s="39"/>
      <c r="L59" s="39"/>
      <c r="M59" s="39"/>
      <c r="N59" s="39"/>
      <c r="O59" s="39"/>
    </row>
    <row r="60" spans="1:15" ht="25.5">
      <c r="A60" s="39" t="s">
        <v>115</v>
      </c>
      <c r="B60" s="39" t="s">
        <v>210</v>
      </c>
      <c r="C60" s="39" t="s">
        <v>22</v>
      </c>
      <c r="D60" s="39"/>
      <c r="E60" s="39"/>
      <c r="F60" s="39"/>
      <c r="G60" s="39"/>
      <c r="H60" s="39"/>
      <c r="I60" s="39"/>
      <c r="J60" s="39"/>
      <c r="K60" s="39"/>
      <c r="L60" s="39"/>
      <c r="M60" s="39"/>
      <c r="N60" s="39"/>
      <c r="O60" s="39"/>
    </row>
    <row r="61" spans="1:15">
      <c r="A61" s="39" t="s">
        <v>116</v>
      </c>
      <c r="B61" s="39" t="s">
        <v>211</v>
      </c>
      <c r="C61" s="39" t="s">
        <v>168</v>
      </c>
      <c r="D61" s="39"/>
      <c r="E61" s="39"/>
      <c r="F61" s="39"/>
      <c r="G61" s="39"/>
      <c r="H61" s="39"/>
      <c r="I61" s="39"/>
      <c r="J61" s="39"/>
      <c r="K61" s="39"/>
      <c r="L61" s="39"/>
      <c r="M61" s="39"/>
      <c r="N61" s="39"/>
      <c r="O61" s="39"/>
    </row>
    <row r="62" spans="1:15">
      <c r="A62" s="39" t="s">
        <v>117</v>
      </c>
      <c r="B62" s="39" t="s">
        <v>212</v>
      </c>
      <c r="C62" s="39" t="s">
        <v>273</v>
      </c>
      <c r="D62" s="39"/>
      <c r="E62" s="39"/>
      <c r="F62" s="39"/>
      <c r="G62" s="39"/>
      <c r="H62" s="39"/>
      <c r="I62" s="39"/>
      <c r="J62" s="39"/>
      <c r="K62" s="39"/>
      <c r="L62" s="39"/>
      <c r="M62" s="39"/>
      <c r="N62" s="39"/>
      <c r="O62" s="39"/>
    </row>
    <row r="63" spans="1:15">
      <c r="A63" s="39" t="s">
        <v>118</v>
      </c>
      <c r="B63" s="39" t="s">
        <v>213</v>
      </c>
      <c r="C63" s="39" t="s">
        <v>13</v>
      </c>
      <c r="D63" s="39"/>
      <c r="E63" s="39"/>
      <c r="F63" s="39"/>
      <c r="G63" s="39"/>
      <c r="H63" s="39"/>
      <c r="I63" s="39"/>
      <c r="J63" s="39"/>
      <c r="K63" s="39"/>
      <c r="L63" s="39"/>
      <c r="M63" s="39"/>
      <c r="N63" s="39"/>
      <c r="O63" s="39"/>
    </row>
    <row r="64" spans="1:15" ht="102">
      <c r="A64" s="39" t="s">
        <v>119</v>
      </c>
      <c r="B64" s="39" t="s">
        <v>1098</v>
      </c>
      <c r="C64" s="39" t="s">
        <v>1099</v>
      </c>
      <c r="D64" s="39"/>
      <c r="E64" s="39"/>
      <c r="F64" s="39"/>
      <c r="G64" s="39"/>
      <c r="H64" s="39"/>
      <c r="I64" s="39"/>
      <c r="J64" s="39"/>
      <c r="K64" s="39"/>
      <c r="L64" s="39"/>
      <c r="M64" s="39"/>
      <c r="N64" s="39"/>
      <c r="O64" s="39"/>
    </row>
    <row r="65" spans="1:15">
      <c r="A65" s="39" t="s">
        <v>167</v>
      </c>
      <c r="B65" s="39" t="s">
        <v>285</v>
      </c>
      <c r="C65" s="39" t="s">
        <v>275</v>
      </c>
      <c r="D65" s="39"/>
      <c r="E65" s="39"/>
      <c r="F65" s="39"/>
      <c r="G65" s="39"/>
      <c r="H65" s="39"/>
      <c r="I65" s="39"/>
      <c r="J65" s="39"/>
      <c r="K65" s="39"/>
      <c r="L65" s="39"/>
      <c r="M65" s="39"/>
      <c r="N65" s="39"/>
      <c r="O65" s="39"/>
    </row>
    <row r="66" spans="1:15" ht="25.5">
      <c r="A66" s="39" t="s">
        <v>276</v>
      </c>
      <c r="B66" s="39" t="s">
        <v>1100</v>
      </c>
      <c r="C66" s="39" t="s">
        <v>1101</v>
      </c>
      <c r="D66" s="39"/>
      <c r="E66" s="39"/>
      <c r="F66" s="39"/>
      <c r="G66" s="39"/>
      <c r="H66" s="39"/>
      <c r="I66" s="39"/>
      <c r="J66" s="39"/>
      <c r="K66" s="39"/>
      <c r="L66" s="39"/>
      <c r="M66" s="39"/>
      <c r="N66" s="39"/>
      <c r="O66" s="39"/>
    </row>
    <row r="67" spans="1:15" ht="38.25">
      <c r="A67" s="39" t="s">
        <v>237</v>
      </c>
      <c r="B67" s="39" t="s">
        <v>287</v>
      </c>
      <c r="C67" s="39" t="s">
        <v>1102</v>
      </c>
      <c r="D67" s="39"/>
      <c r="E67" s="39"/>
      <c r="F67" s="39"/>
      <c r="G67" s="39"/>
      <c r="H67" s="39"/>
      <c r="I67" s="39"/>
      <c r="J67" s="39"/>
      <c r="K67" s="39"/>
      <c r="L67" s="39"/>
      <c r="M67" s="39"/>
      <c r="N67" s="39"/>
      <c r="O67" s="39"/>
    </row>
    <row r="68" spans="1:15" ht="117" customHeight="1">
      <c r="A68" s="39" t="s">
        <v>279</v>
      </c>
      <c r="B68" s="39" t="s">
        <v>1104</v>
      </c>
      <c r="C68" s="39" t="s">
        <v>1103</v>
      </c>
      <c r="D68" s="39"/>
      <c r="E68" s="39"/>
      <c r="F68" s="39"/>
      <c r="G68" s="39"/>
      <c r="H68" s="39"/>
      <c r="I68" s="39"/>
      <c r="J68" s="39"/>
      <c r="K68" s="39"/>
      <c r="L68" s="39"/>
      <c r="M68" s="39"/>
      <c r="N68" s="39"/>
      <c r="O68" s="39"/>
    </row>
    <row r="69" spans="1:15" ht="38.25">
      <c r="A69" s="435" t="s">
        <v>120</v>
      </c>
      <c r="B69" s="435" t="s">
        <v>238</v>
      </c>
      <c r="C69" s="435"/>
      <c r="D69" s="39"/>
      <c r="E69" s="39"/>
      <c r="F69" s="39"/>
      <c r="G69" s="39"/>
      <c r="H69" s="39"/>
      <c r="I69" s="39"/>
      <c r="J69" s="39"/>
      <c r="K69" s="39"/>
      <c r="L69" s="39"/>
      <c r="M69" s="39"/>
      <c r="N69" s="39"/>
      <c r="O69" s="39"/>
    </row>
    <row r="70" spans="1:15">
      <c r="A70" s="39" t="s">
        <v>121</v>
      </c>
      <c r="B70" s="39" t="s">
        <v>278</v>
      </c>
      <c r="C70" s="39" t="s">
        <v>277</v>
      </c>
      <c r="D70" s="39"/>
      <c r="E70" s="39"/>
      <c r="F70" s="39"/>
      <c r="G70" s="39"/>
      <c r="H70" s="39"/>
      <c r="I70" s="39"/>
      <c r="J70" s="39"/>
      <c r="K70" s="39"/>
      <c r="L70" s="39"/>
      <c r="M70" s="39"/>
      <c r="N70" s="39"/>
      <c r="O70" s="39"/>
    </row>
    <row r="71" spans="1:15" ht="25.5">
      <c r="A71" s="39" t="s">
        <v>122</v>
      </c>
      <c r="B71" s="39" t="s">
        <v>254</v>
      </c>
      <c r="C71" s="39" t="s">
        <v>166</v>
      </c>
      <c r="D71" s="39"/>
      <c r="E71" s="39"/>
      <c r="F71" s="39"/>
      <c r="G71" s="39"/>
      <c r="H71" s="39"/>
      <c r="I71" s="39"/>
      <c r="J71" s="39"/>
      <c r="K71" s="39"/>
      <c r="L71" s="39"/>
      <c r="M71" s="39"/>
      <c r="N71" s="39"/>
      <c r="O71" s="39"/>
    </row>
    <row r="72" spans="1:15" ht="25.5">
      <c r="A72" s="39" t="s">
        <v>123</v>
      </c>
      <c r="B72" s="39" t="s">
        <v>288</v>
      </c>
      <c r="C72" s="39" t="s">
        <v>33</v>
      </c>
      <c r="D72" s="39"/>
      <c r="E72" s="39"/>
      <c r="F72" s="39"/>
      <c r="G72" s="39"/>
      <c r="H72" s="39"/>
      <c r="I72" s="39"/>
      <c r="J72" s="39"/>
      <c r="K72" s="39"/>
      <c r="L72" s="39"/>
      <c r="M72" s="39"/>
      <c r="N72" s="39"/>
      <c r="O72" s="39"/>
    </row>
    <row r="73" spans="1:15">
      <c r="A73" s="39" t="s">
        <v>124</v>
      </c>
      <c r="B73" s="39" t="s">
        <v>186</v>
      </c>
      <c r="C73" s="39" t="s">
        <v>17</v>
      </c>
      <c r="D73" s="39"/>
      <c r="E73" s="39"/>
      <c r="F73" s="39"/>
      <c r="G73" s="39"/>
      <c r="H73" s="39"/>
      <c r="I73" s="39"/>
      <c r="J73" s="39"/>
      <c r="K73" s="39"/>
      <c r="L73" s="39"/>
      <c r="M73" s="39"/>
      <c r="N73" s="39"/>
      <c r="O73" s="39"/>
    </row>
    <row r="74" spans="1:15">
      <c r="A74" s="39" t="s">
        <v>125</v>
      </c>
      <c r="B74" s="39" t="s">
        <v>214</v>
      </c>
      <c r="C74" s="39" t="s">
        <v>14</v>
      </c>
      <c r="D74" s="39"/>
      <c r="E74" s="39"/>
      <c r="F74" s="39"/>
      <c r="G74" s="39"/>
      <c r="H74" s="39"/>
      <c r="I74" s="39"/>
      <c r="J74" s="39"/>
      <c r="K74" s="39"/>
      <c r="L74" s="39"/>
      <c r="M74" s="39"/>
      <c r="N74" s="39"/>
      <c r="O74" s="39"/>
    </row>
    <row r="75" spans="1:15">
      <c r="A75" s="39" t="s">
        <v>126</v>
      </c>
      <c r="B75" s="39" t="s">
        <v>242</v>
      </c>
      <c r="C75" s="39" t="s">
        <v>16</v>
      </c>
      <c r="D75" s="39"/>
      <c r="E75" s="39"/>
      <c r="F75" s="39"/>
      <c r="G75" s="39"/>
      <c r="H75" s="39"/>
      <c r="I75" s="39"/>
      <c r="J75" s="39"/>
      <c r="K75" s="39"/>
      <c r="L75" s="39"/>
      <c r="M75" s="39"/>
      <c r="N75" s="39"/>
      <c r="O75" s="39"/>
    </row>
    <row r="76" spans="1:15">
      <c r="A76" s="39" t="s">
        <v>127</v>
      </c>
      <c r="B76" s="39" t="s">
        <v>846</v>
      </c>
      <c r="C76" s="39" t="s">
        <v>20</v>
      </c>
      <c r="D76" s="39"/>
      <c r="E76" s="39"/>
      <c r="F76" s="39"/>
      <c r="G76" s="39"/>
      <c r="H76" s="39"/>
      <c r="I76" s="39"/>
      <c r="J76" s="39"/>
      <c r="K76" s="39"/>
      <c r="L76" s="39"/>
      <c r="M76" s="39"/>
      <c r="N76" s="39"/>
      <c r="O76" s="39"/>
    </row>
    <row r="77" spans="1:15">
      <c r="A77" s="39" t="s">
        <v>128</v>
      </c>
      <c r="B77" s="39" t="s">
        <v>215</v>
      </c>
      <c r="C77" s="39" t="s">
        <v>15</v>
      </c>
      <c r="D77" s="39"/>
      <c r="E77" s="39"/>
      <c r="F77" s="39"/>
      <c r="G77" s="39"/>
      <c r="H77" s="39"/>
      <c r="I77" s="39"/>
      <c r="J77" s="39"/>
      <c r="K77" s="39"/>
      <c r="L77" s="39"/>
      <c r="M77" s="39"/>
      <c r="N77" s="39"/>
      <c r="O77" s="39"/>
    </row>
    <row r="78" spans="1:15">
      <c r="A78" s="39" t="s">
        <v>129</v>
      </c>
      <c r="B78" s="39" t="s">
        <v>216</v>
      </c>
      <c r="C78" s="39" t="s">
        <v>216</v>
      </c>
      <c r="D78" s="39"/>
      <c r="E78" s="39"/>
      <c r="F78" s="39"/>
      <c r="G78" s="39"/>
      <c r="H78" s="39"/>
      <c r="I78" s="39"/>
      <c r="J78" s="39"/>
      <c r="K78" s="39"/>
      <c r="L78" s="39"/>
      <c r="M78" s="39"/>
      <c r="N78" s="39"/>
      <c r="O78" s="39"/>
    </row>
    <row r="79" spans="1:15" ht="25.5">
      <c r="A79" s="39" t="s">
        <v>130</v>
      </c>
      <c r="B79" s="39" t="s">
        <v>217</v>
      </c>
      <c r="C79" s="39" t="s">
        <v>21</v>
      </c>
      <c r="D79" s="39"/>
      <c r="E79" s="39"/>
      <c r="F79" s="39"/>
      <c r="G79" s="39"/>
      <c r="H79" s="39"/>
      <c r="I79" s="39"/>
      <c r="J79" s="39"/>
      <c r="K79" s="39"/>
      <c r="L79" s="39"/>
      <c r="M79" s="39"/>
      <c r="N79" s="39"/>
      <c r="O79" s="39"/>
    </row>
    <row r="80" spans="1:15">
      <c r="A80" s="39" t="s">
        <v>131</v>
      </c>
      <c r="B80" s="39" t="s">
        <v>239</v>
      </c>
      <c r="C80" s="39" t="s">
        <v>34</v>
      </c>
      <c r="D80" s="39"/>
      <c r="E80" s="39"/>
      <c r="F80" s="39"/>
      <c r="G80" s="39"/>
      <c r="H80" s="39"/>
      <c r="I80" s="39"/>
      <c r="J80" s="39"/>
      <c r="K80" s="39"/>
      <c r="L80" s="39"/>
      <c r="M80" s="39"/>
      <c r="N80" s="39"/>
      <c r="O80" s="39"/>
    </row>
    <row r="81" spans="1:15">
      <c r="A81" s="39" t="s">
        <v>132</v>
      </c>
      <c r="B81" s="39" t="s">
        <v>255</v>
      </c>
      <c r="C81" s="39" t="s">
        <v>165</v>
      </c>
      <c r="D81" s="39"/>
      <c r="E81" s="39"/>
      <c r="F81" s="39"/>
      <c r="G81" s="39"/>
      <c r="H81" s="39"/>
      <c r="I81" s="39"/>
      <c r="J81" s="39"/>
      <c r="K81" s="39"/>
      <c r="L81" s="39"/>
      <c r="M81" s="39"/>
      <c r="N81" s="39"/>
      <c r="O81" s="39"/>
    </row>
    <row r="82" spans="1:15">
      <c r="A82" s="39" t="s">
        <v>133</v>
      </c>
      <c r="B82" s="39" t="s">
        <v>256</v>
      </c>
      <c r="C82" s="39" t="s">
        <v>164</v>
      </c>
      <c r="D82" s="39"/>
      <c r="E82" s="39"/>
      <c r="F82" s="39"/>
      <c r="G82" s="39"/>
      <c r="H82" s="39"/>
      <c r="I82" s="39"/>
      <c r="J82" s="39"/>
      <c r="K82" s="39"/>
      <c r="L82" s="39"/>
      <c r="M82" s="39"/>
      <c r="N82" s="39"/>
      <c r="O82" s="39"/>
    </row>
    <row r="83" spans="1:15">
      <c r="A83" s="39" t="s">
        <v>60</v>
      </c>
      <c r="B83" s="39" t="s">
        <v>218</v>
      </c>
      <c r="C83" s="39" t="s">
        <v>163</v>
      </c>
      <c r="D83" s="39"/>
      <c r="E83" s="39"/>
      <c r="F83" s="39"/>
      <c r="G83" s="39"/>
      <c r="H83" s="39"/>
      <c r="I83" s="39"/>
      <c r="J83" s="39"/>
      <c r="K83" s="39"/>
      <c r="L83" s="39"/>
      <c r="M83" s="39"/>
      <c r="N83" s="39"/>
      <c r="O83" s="39"/>
    </row>
    <row r="84" spans="1:15">
      <c r="A84" s="39" t="s">
        <v>134</v>
      </c>
      <c r="B84" s="39" t="s">
        <v>286</v>
      </c>
      <c r="C84" s="39" t="s">
        <v>18</v>
      </c>
      <c r="D84" s="39"/>
      <c r="E84" s="39"/>
      <c r="F84" s="39"/>
      <c r="G84" s="39"/>
      <c r="H84" s="39"/>
      <c r="I84" s="39"/>
      <c r="J84" s="39"/>
      <c r="K84" s="39"/>
      <c r="L84" s="39"/>
      <c r="M84" s="39"/>
      <c r="N84" s="39"/>
      <c r="O84" s="39"/>
    </row>
    <row r="85" spans="1:15">
      <c r="A85" s="22" t="s">
        <v>135</v>
      </c>
      <c r="B85" s="22" t="s">
        <v>219</v>
      </c>
      <c r="C85" s="22" t="s">
        <v>35</v>
      </c>
      <c r="D85" s="39"/>
      <c r="E85" s="39"/>
      <c r="F85" s="39"/>
      <c r="G85" s="39"/>
      <c r="H85" s="39"/>
      <c r="I85" s="39"/>
      <c r="J85" s="39"/>
      <c r="K85" s="39"/>
      <c r="L85" s="39"/>
      <c r="M85" s="39"/>
      <c r="N85" s="39"/>
      <c r="O85" s="39"/>
    </row>
    <row r="86" spans="1:15">
      <c r="A86" s="40" t="s">
        <v>879</v>
      </c>
      <c r="B86" s="40" t="s">
        <v>880</v>
      </c>
      <c r="C86" s="40" t="s">
        <v>878</v>
      </c>
      <c r="D86" s="39"/>
      <c r="E86" s="39"/>
      <c r="F86" s="39"/>
      <c r="G86" s="39"/>
      <c r="H86" s="39"/>
      <c r="I86" s="39"/>
      <c r="J86" s="39"/>
      <c r="K86" s="39"/>
      <c r="L86" s="39"/>
      <c r="M86" s="39"/>
      <c r="N86" s="39"/>
      <c r="O86" s="39"/>
    </row>
    <row r="87" spans="1:15" ht="25.5">
      <c r="A87" s="22" t="s">
        <v>372</v>
      </c>
      <c r="B87" s="22" t="s">
        <v>403</v>
      </c>
      <c r="C87" s="22" t="s">
        <v>401</v>
      </c>
      <c r="D87" s="39"/>
      <c r="E87" s="39"/>
      <c r="F87" s="39"/>
      <c r="G87" s="39"/>
      <c r="H87" s="39"/>
      <c r="I87" s="39"/>
      <c r="J87" s="39"/>
      <c r="K87" s="39"/>
      <c r="L87" s="39"/>
      <c r="M87" s="39"/>
      <c r="N87" s="39"/>
      <c r="O87" s="39"/>
    </row>
    <row r="88" spans="1:15">
      <c r="A88" s="22" t="s">
        <v>462</v>
      </c>
      <c r="B88" s="22" t="s">
        <v>408</v>
      </c>
      <c r="C88" s="22" t="s">
        <v>434</v>
      </c>
      <c r="D88" s="39"/>
      <c r="E88" s="39"/>
      <c r="F88" s="39"/>
      <c r="G88" s="39"/>
      <c r="H88" s="39"/>
      <c r="I88" s="39"/>
      <c r="J88" s="39"/>
      <c r="K88" s="39"/>
      <c r="L88" s="39"/>
      <c r="M88" s="39"/>
      <c r="N88" s="39"/>
      <c r="O88" s="39"/>
    </row>
    <row r="89" spans="1:15">
      <c r="A89" s="22" t="s">
        <v>406</v>
      </c>
      <c r="B89" s="22" t="s">
        <v>409</v>
      </c>
      <c r="C89" s="22" t="s">
        <v>435</v>
      </c>
      <c r="D89" s="39"/>
      <c r="E89" s="39"/>
      <c r="F89" s="39"/>
      <c r="G89" s="39"/>
      <c r="H89" s="39"/>
      <c r="I89" s="39"/>
      <c r="J89" s="39"/>
      <c r="K89" s="39"/>
      <c r="L89" s="39"/>
      <c r="M89" s="39"/>
      <c r="N89" s="39"/>
      <c r="O89" s="39"/>
    </row>
    <row r="90" spans="1:15" ht="25.5">
      <c r="A90" s="22" t="s">
        <v>407</v>
      </c>
      <c r="B90" s="22" t="s">
        <v>410</v>
      </c>
      <c r="C90" s="22" t="s">
        <v>436</v>
      </c>
      <c r="D90" s="39"/>
      <c r="E90" s="39"/>
      <c r="F90" s="39"/>
      <c r="G90" s="39"/>
      <c r="H90" s="39"/>
      <c r="I90" s="39"/>
      <c r="J90" s="39"/>
      <c r="K90" s="39"/>
      <c r="L90" s="39"/>
      <c r="M90" s="39"/>
      <c r="N90" s="39"/>
      <c r="O90" s="39"/>
    </row>
    <row r="91" spans="1:15" ht="25.5">
      <c r="A91" s="61" t="s">
        <v>373</v>
      </c>
      <c r="B91" s="62" t="s">
        <v>433</v>
      </c>
      <c r="C91" s="62" t="s">
        <v>873</v>
      </c>
      <c r="D91" s="39"/>
      <c r="E91" s="39"/>
      <c r="F91" s="39"/>
      <c r="G91" s="39"/>
      <c r="H91" s="39"/>
      <c r="I91" s="39"/>
      <c r="J91" s="39"/>
      <c r="K91" s="39"/>
      <c r="L91" s="39"/>
      <c r="M91" s="39"/>
      <c r="N91" s="39"/>
      <c r="O91" s="39"/>
    </row>
    <row r="92" spans="1:15">
      <c r="A92" s="61" t="s">
        <v>376</v>
      </c>
      <c r="B92" s="63" t="s">
        <v>411</v>
      </c>
      <c r="C92" s="63" t="s">
        <v>437</v>
      </c>
      <c r="D92" s="39"/>
      <c r="E92" s="39"/>
      <c r="F92" s="39"/>
      <c r="G92" s="39"/>
      <c r="H92" s="39"/>
      <c r="I92" s="39"/>
      <c r="J92" s="39"/>
      <c r="K92" s="39"/>
      <c r="L92" s="39"/>
      <c r="M92" s="39"/>
      <c r="N92" s="39"/>
      <c r="O92" s="39"/>
    </row>
    <row r="93" spans="1:15">
      <c r="A93" s="61" t="s">
        <v>375</v>
      </c>
      <c r="B93" s="63" t="s">
        <v>412</v>
      </c>
      <c r="C93" s="63" t="s">
        <v>438</v>
      </c>
      <c r="D93" s="39"/>
      <c r="E93" s="39"/>
      <c r="F93" s="39"/>
      <c r="G93" s="39"/>
      <c r="H93" s="39"/>
      <c r="I93" s="39"/>
      <c r="J93" s="39"/>
      <c r="K93" s="39"/>
      <c r="L93" s="39"/>
      <c r="M93" s="39"/>
      <c r="N93" s="39"/>
      <c r="O93" s="39"/>
    </row>
    <row r="94" spans="1:15" ht="25.5">
      <c r="A94" s="61" t="s">
        <v>377</v>
      </c>
      <c r="B94" s="62" t="s">
        <v>413</v>
      </c>
      <c r="C94" s="62" t="s">
        <v>439</v>
      </c>
      <c r="D94" s="39"/>
      <c r="E94" s="39"/>
      <c r="F94" s="39"/>
      <c r="G94" s="39"/>
      <c r="H94" s="39"/>
      <c r="I94" s="39"/>
      <c r="J94" s="39"/>
      <c r="K94" s="39"/>
      <c r="L94" s="39"/>
      <c r="M94" s="39"/>
      <c r="N94" s="39"/>
      <c r="O94" s="39"/>
    </row>
    <row r="95" spans="1:15">
      <c r="A95" s="61" t="s">
        <v>378</v>
      </c>
      <c r="B95" s="62" t="s">
        <v>414</v>
      </c>
      <c r="C95" s="62" t="s">
        <v>440</v>
      </c>
      <c r="D95" s="39"/>
      <c r="E95" s="39"/>
      <c r="F95" s="39"/>
      <c r="G95" s="39"/>
      <c r="H95" s="39"/>
      <c r="I95" s="39"/>
      <c r="J95" s="39"/>
      <c r="K95" s="39"/>
      <c r="L95" s="39"/>
      <c r="M95" s="39"/>
      <c r="N95" s="39"/>
      <c r="O95" s="39"/>
    </row>
    <row r="96" spans="1:15">
      <c r="A96" s="61" t="s">
        <v>379</v>
      </c>
      <c r="B96" s="62" t="s">
        <v>415</v>
      </c>
      <c r="C96" s="62" t="s">
        <v>441</v>
      </c>
      <c r="D96" s="39"/>
      <c r="E96" s="39"/>
      <c r="F96" s="39"/>
      <c r="G96" s="39"/>
      <c r="H96" s="39"/>
      <c r="I96" s="39"/>
      <c r="J96" s="39"/>
      <c r="K96" s="39"/>
      <c r="L96" s="39"/>
      <c r="M96" s="39"/>
      <c r="N96" s="39"/>
      <c r="O96" s="39"/>
    </row>
    <row r="97" spans="1:15">
      <c r="A97" s="61" t="s">
        <v>380</v>
      </c>
      <c r="B97" s="62" t="s">
        <v>416</v>
      </c>
      <c r="C97" s="62" t="s">
        <v>1105</v>
      </c>
      <c r="D97" s="39"/>
      <c r="E97" s="39"/>
      <c r="F97" s="39"/>
      <c r="G97" s="39"/>
      <c r="H97" s="39"/>
      <c r="I97" s="39"/>
      <c r="J97" s="39"/>
      <c r="K97" s="39"/>
      <c r="L97" s="39"/>
      <c r="M97" s="39"/>
      <c r="N97" s="39"/>
      <c r="O97" s="39"/>
    </row>
    <row r="98" spans="1:15">
      <c r="A98" s="61" t="s">
        <v>381</v>
      </c>
      <c r="B98" s="62" t="s">
        <v>417</v>
      </c>
      <c r="C98" s="62" t="s">
        <v>442</v>
      </c>
      <c r="D98" s="39"/>
      <c r="E98" s="39"/>
      <c r="F98" s="39"/>
      <c r="G98" s="39"/>
      <c r="H98" s="39"/>
      <c r="I98" s="39"/>
      <c r="J98" s="39"/>
      <c r="K98" s="39"/>
      <c r="L98" s="39"/>
      <c r="M98" s="39"/>
      <c r="N98" s="39"/>
      <c r="O98" s="39"/>
    </row>
    <row r="99" spans="1:15" ht="25.5">
      <c r="A99" s="61" t="s">
        <v>382</v>
      </c>
      <c r="B99" s="62" t="s">
        <v>418</v>
      </c>
      <c r="C99" s="62" t="s">
        <v>443</v>
      </c>
      <c r="D99" s="39"/>
      <c r="E99" s="39"/>
      <c r="F99" s="39"/>
      <c r="G99" s="39"/>
      <c r="H99" s="39"/>
      <c r="I99" s="39"/>
      <c r="J99" s="39"/>
      <c r="K99" s="39"/>
      <c r="L99" s="39"/>
      <c r="M99" s="39"/>
      <c r="N99" s="39"/>
      <c r="O99" s="39"/>
    </row>
    <row r="100" spans="1:15" ht="12.75" customHeight="1">
      <c r="A100" s="61" t="s">
        <v>374</v>
      </c>
      <c r="B100" s="62" t="s">
        <v>419</v>
      </c>
      <c r="C100" s="62" t="s">
        <v>444</v>
      </c>
      <c r="D100" s="39"/>
      <c r="E100" s="39"/>
      <c r="F100" s="39"/>
      <c r="G100" s="39"/>
      <c r="H100" s="39"/>
      <c r="I100" s="39"/>
      <c r="J100" s="39"/>
      <c r="K100" s="39"/>
      <c r="L100" s="39"/>
      <c r="M100" s="39"/>
      <c r="N100" s="39"/>
      <c r="O100" s="39"/>
    </row>
    <row r="101" spans="1:15">
      <c r="A101" s="61" t="s">
        <v>383</v>
      </c>
      <c r="B101" s="62" t="s">
        <v>420</v>
      </c>
      <c r="C101" s="62" t="s">
        <v>445</v>
      </c>
      <c r="D101" s="39"/>
      <c r="E101" s="39"/>
      <c r="F101" s="39"/>
      <c r="G101" s="39"/>
      <c r="H101" s="39"/>
      <c r="I101" s="39"/>
      <c r="J101" s="39"/>
      <c r="K101" s="39"/>
      <c r="L101" s="39"/>
      <c r="M101" s="39"/>
      <c r="N101" s="39"/>
      <c r="O101" s="39"/>
    </row>
    <row r="102" spans="1:15" ht="25.5">
      <c r="A102" s="61" t="s">
        <v>384</v>
      </c>
      <c r="B102" s="62" t="s">
        <v>421</v>
      </c>
      <c r="C102" s="62" t="s">
        <v>446</v>
      </c>
      <c r="D102" s="39"/>
      <c r="E102" s="39"/>
      <c r="F102" s="39"/>
      <c r="G102" s="39"/>
      <c r="H102" s="39"/>
      <c r="I102" s="39"/>
      <c r="J102" s="39"/>
      <c r="K102" s="39"/>
      <c r="L102" s="39"/>
      <c r="M102" s="39"/>
      <c r="N102" s="39"/>
      <c r="O102" s="39"/>
    </row>
    <row r="103" spans="1:15">
      <c r="A103" s="61" t="s">
        <v>385</v>
      </c>
      <c r="B103" s="62" t="s">
        <v>422</v>
      </c>
      <c r="C103" s="62" t="s">
        <v>447</v>
      </c>
      <c r="D103" s="39"/>
      <c r="E103" s="39"/>
      <c r="F103" s="39"/>
      <c r="G103" s="39"/>
      <c r="H103" s="39"/>
      <c r="I103" s="39"/>
      <c r="J103" s="39"/>
      <c r="K103" s="39"/>
      <c r="L103" s="39"/>
      <c r="M103" s="39"/>
      <c r="N103" s="39"/>
      <c r="O103" s="39"/>
    </row>
    <row r="104" spans="1:15" ht="25.5">
      <c r="A104" s="61" t="s">
        <v>386</v>
      </c>
      <c r="B104" s="62" t="s">
        <v>423</v>
      </c>
      <c r="C104" s="62" t="s">
        <v>448</v>
      </c>
      <c r="D104" s="39"/>
      <c r="E104" s="39"/>
      <c r="F104" s="39"/>
      <c r="G104" s="39"/>
      <c r="H104" s="39"/>
      <c r="I104" s="39"/>
      <c r="J104" s="39"/>
      <c r="K104" s="39"/>
      <c r="L104" s="39"/>
      <c r="M104" s="39"/>
      <c r="N104" s="39"/>
      <c r="O104" s="39"/>
    </row>
    <row r="105" spans="1:15">
      <c r="A105" s="61" t="s">
        <v>387</v>
      </c>
      <c r="B105" s="61" t="s">
        <v>450</v>
      </c>
      <c r="C105" s="62" t="s">
        <v>449</v>
      </c>
      <c r="D105" s="39"/>
      <c r="E105" s="39"/>
      <c r="F105" s="39"/>
      <c r="G105" s="39"/>
      <c r="H105" s="39"/>
      <c r="I105" s="39"/>
      <c r="J105" s="39"/>
      <c r="K105" s="39"/>
      <c r="L105" s="39"/>
      <c r="M105" s="39"/>
      <c r="N105" s="39"/>
      <c r="O105" s="39"/>
    </row>
    <row r="106" spans="1:15">
      <c r="A106" s="61" t="s">
        <v>388</v>
      </c>
      <c r="B106" s="61" t="s">
        <v>424</v>
      </c>
      <c r="C106" s="62" t="s">
        <v>451</v>
      </c>
      <c r="D106" s="39"/>
      <c r="E106" s="39"/>
      <c r="F106" s="39"/>
      <c r="G106" s="39"/>
      <c r="H106" s="39"/>
      <c r="I106" s="39"/>
      <c r="J106" s="39"/>
      <c r="K106" s="39"/>
      <c r="L106" s="39"/>
      <c r="M106" s="39"/>
      <c r="N106" s="39"/>
      <c r="O106" s="39"/>
    </row>
    <row r="107" spans="1:15">
      <c r="A107" s="61" t="s">
        <v>389</v>
      </c>
      <c r="B107" s="61" t="s">
        <v>425</v>
      </c>
      <c r="C107" s="62" t="s">
        <v>452</v>
      </c>
      <c r="D107" s="39"/>
      <c r="E107" s="39"/>
      <c r="F107" s="39"/>
      <c r="G107" s="39"/>
      <c r="H107" s="39"/>
      <c r="I107" s="39"/>
      <c r="J107" s="39"/>
      <c r="K107" s="39"/>
      <c r="L107" s="39"/>
      <c r="M107" s="39"/>
      <c r="N107" s="39"/>
      <c r="O107" s="39"/>
    </row>
    <row r="108" spans="1:15">
      <c r="A108" s="61" t="s">
        <v>390</v>
      </c>
      <c r="B108" s="61" t="s">
        <v>426</v>
      </c>
      <c r="C108" s="62" t="s">
        <v>453</v>
      </c>
      <c r="D108" s="39"/>
      <c r="E108" s="39"/>
      <c r="F108" s="39"/>
      <c r="G108" s="39"/>
      <c r="H108" s="39"/>
      <c r="I108" s="39"/>
      <c r="J108" s="39"/>
      <c r="K108" s="39"/>
      <c r="L108" s="39"/>
      <c r="M108" s="39"/>
      <c r="N108" s="39"/>
      <c r="O108" s="39"/>
    </row>
    <row r="109" spans="1:15" ht="25.5">
      <c r="A109" s="61" t="s">
        <v>391</v>
      </c>
      <c r="B109" s="61" t="s">
        <v>427</v>
      </c>
      <c r="C109" s="62" t="s">
        <v>454</v>
      </c>
      <c r="D109" s="39"/>
      <c r="E109" s="39"/>
      <c r="F109" s="39"/>
      <c r="G109" s="39"/>
      <c r="H109" s="39"/>
      <c r="I109" s="39"/>
      <c r="J109" s="39"/>
      <c r="K109" s="39"/>
      <c r="L109" s="39"/>
      <c r="M109" s="39"/>
      <c r="N109" s="39"/>
      <c r="O109" s="39"/>
    </row>
    <row r="110" spans="1:15">
      <c r="A110" s="61" t="s">
        <v>392</v>
      </c>
      <c r="B110" s="61" t="s">
        <v>428</v>
      </c>
      <c r="C110" s="62" t="s">
        <v>455</v>
      </c>
      <c r="D110" s="39"/>
      <c r="E110" s="39"/>
      <c r="F110" s="39"/>
      <c r="G110" s="39"/>
      <c r="H110" s="39"/>
      <c r="I110" s="39"/>
      <c r="J110" s="39"/>
      <c r="K110" s="39"/>
      <c r="L110" s="39"/>
      <c r="M110" s="39"/>
      <c r="N110" s="39"/>
      <c r="O110" s="39"/>
    </row>
    <row r="111" spans="1:15">
      <c r="A111" s="61" t="s">
        <v>393</v>
      </c>
      <c r="B111" s="61" t="s">
        <v>429</v>
      </c>
      <c r="C111" s="62" t="s">
        <v>456</v>
      </c>
      <c r="D111" s="39"/>
      <c r="E111" s="39"/>
      <c r="F111" s="39"/>
      <c r="G111" s="39"/>
      <c r="H111" s="39"/>
      <c r="I111" s="39"/>
      <c r="J111" s="39"/>
      <c r="K111" s="39"/>
      <c r="L111" s="39"/>
      <c r="M111" s="39"/>
      <c r="N111" s="39"/>
      <c r="O111" s="39"/>
    </row>
    <row r="112" spans="1:15" ht="25.5">
      <c r="A112" s="61" t="s">
        <v>394</v>
      </c>
      <c r="B112" s="61" t="s">
        <v>430</v>
      </c>
      <c r="C112" s="62" t="s">
        <v>457</v>
      </c>
      <c r="D112" s="39"/>
      <c r="E112" s="39"/>
      <c r="F112" s="39"/>
      <c r="G112" s="39"/>
      <c r="H112" s="39"/>
      <c r="I112" s="39"/>
      <c r="J112" s="39"/>
      <c r="K112" s="39"/>
      <c r="L112" s="39"/>
      <c r="M112" s="39"/>
      <c r="N112" s="39"/>
      <c r="O112" s="39"/>
    </row>
    <row r="113" spans="1:15" ht="25.5">
      <c r="A113" s="61" t="s">
        <v>395</v>
      </c>
      <c r="B113" s="61" t="s">
        <v>464</v>
      </c>
      <c r="C113" s="62" t="s">
        <v>458</v>
      </c>
      <c r="D113" s="39"/>
      <c r="E113" s="39"/>
      <c r="F113" s="39"/>
      <c r="G113" s="39"/>
      <c r="H113" s="39"/>
      <c r="I113" s="39"/>
      <c r="J113" s="39"/>
      <c r="K113" s="39"/>
      <c r="L113" s="39"/>
      <c r="M113" s="39"/>
      <c r="N113" s="39"/>
      <c r="O113" s="39"/>
    </row>
    <row r="114" spans="1:15">
      <c r="A114" s="61" t="s">
        <v>396</v>
      </c>
      <c r="B114" s="61" t="s">
        <v>431</v>
      </c>
      <c r="C114" s="62" t="s">
        <v>459</v>
      </c>
      <c r="D114" s="39"/>
      <c r="E114" s="39"/>
      <c r="F114" s="39"/>
      <c r="G114" s="39"/>
      <c r="H114" s="39"/>
      <c r="I114" s="39"/>
      <c r="J114" s="39"/>
      <c r="K114" s="39"/>
      <c r="L114" s="39"/>
      <c r="M114" s="39"/>
      <c r="N114" s="39"/>
      <c r="O114" s="39"/>
    </row>
    <row r="115" spans="1:15">
      <c r="A115" t="s">
        <v>397</v>
      </c>
      <c r="B115" s="61" t="s">
        <v>1106</v>
      </c>
      <c r="C115" s="62" t="s">
        <v>895</v>
      </c>
      <c r="D115" s="39"/>
      <c r="E115" s="39"/>
      <c r="F115" s="39"/>
      <c r="G115" s="39"/>
      <c r="H115" s="39"/>
      <c r="I115" s="39"/>
      <c r="J115" s="39"/>
      <c r="K115" s="39"/>
      <c r="L115" s="39"/>
      <c r="M115" s="39"/>
      <c r="N115" s="39"/>
      <c r="O115" s="39"/>
    </row>
    <row r="116" spans="1:15">
      <c r="A116" s="22" t="s">
        <v>404</v>
      </c>
      <c r="B116" s="60" t="s">
        <v>432</v>
      </c>
      <c r="C116" s="60" t="s">
        <v>460</v>
      </c>
      <c r="D116" s="39"/>
      <c r="E116" s="39"/>
      <c r="F116" s="39"/>
      <c r="G116" s="39"/>
      <c r="H116" s="39"/>
      <c r="I116" s="39"/>
      <c r="J116" s="39"/>
      <c r="K116" s="39"/>
      <c r="L116" s="39"/>
      <c r="M116" s="39"/>
      <c r="N116" s="39"/>
      <c r="O116" s="39"/>
    </row>
    <row r="117" spans="1:15">
      <c r="A117" s="22" t="s">
        <v>405</v>
      </c>
      <c r="B117" s="22" t="s">
        <v>463</v>
      </c>
      <c r="C117" s="22" t="s">
        <v>461</v>
      </c>
      <c r="D117" s="39"/>
      <c r="E117" s="39"/>
      <c r="F117" s="39"/>
      <c r="G117" s="39"/>
      <c r="H117" s="39"/>
      <c r="I117" s="39"/>
      <c r="J117" s="39"/>
      <c r="K117" s="39"/>
      <c r="L117" s="39"/>
      <c r="M117" s="39"/>
      <c r="N117" s="39"/>
      <c r="O117" s="39"/>
    </row>
    <row r="118" spans="1:15" ht="25.5">
      <c r="A118" s="64" t="s">
        <v>157</v>
      </c>
      <c r="B118" s="64" t="s">
        <v>399</v>
      </c>
      <c r="C118" s="64" t="s">
        <v>400</v>
      </c>
      <c r="D118" s="39"/>
      <c r="E118" s="39"/>
      <c r="F118" s="39"/>
      <c r="G118" s="39"/>
      <c r="H118" s="39"/>
      <c r="I118" s="39"/>
      <c r="J118" s="39"/>
      <c r="K118" s="39"/>
      <c r="L118" s="39"/>
      <c r="M118" s="39"/>
      <c r="N118" s="39"/>
      <c r="O118" s="39"/>
    </row>
    <row r="119" spans="1:15">
      <c r="A119" s="39" t="s">
        <v>136</v>
      </c>
      <c r="B119" s="39" t="s">
        <v>220</v>
      </c>
      <c r="C119" s="39" t="s">
        <v>38</v>
      </c>
      <c r="D119" s="39"/>
      <c r="E119" s="39"/>
      <c r="F119" s="39"/>
      <c r="G119" s="39"/>
      <c r="H119" s="39"/>
      <c r="I119" s="39"/>
      <c r="J119" s="39"/>
      <c r="K119" s="39"/>
      <c r="L119" s="39"/>
      <c r="M119" s="39"/>
      <c r="N119" s="39"/>
      <c r="O119" s="39"/>
    </row>
    <row r="120" spans="1:15">
      <c r="A120" s="39" t="s">
        <v>137</v>
      </c>
      <c r="B120" s="39" t="s">
        <v>257</v>
      </c>
      <c r="C120" s="39" t="s">
        <v>39</v>
      </c>
      <c r="D120" s="39"/>
      <c r="E120" s="39"/>
      <c r="F120" s="39"/>
      <c r="G120" s="39"/>
      <c r="H120" s="39"/>
      <c r="I120" s="39"/>
      <c r="J120" s="39"/>
      <c r="K120" s="39"/>
      <c r="L120" s="39"/>
      <c r="M120" s="39"/>
      <c r="N120" s="39"/>
      <c r="O120" s="39"/>
    </row>
    <row r="121" spans="1:15">
      <c r="A121" s="39" t="s">
        <v>138</v>
      </c>
      <c r="B121" s="39" t="s">
        <v>221</v>
      </c>
      <c r="C121" s="39" t="s">
        <v>40</v>
      </c>
      <c r="D121" s="39"/>
      <c r="E121" s="39"/>
      <c r="F121" s="39"/>
      <c r="G121" s="39"/>
      <c r="H121" s="39"/>
      <c r="I121" s="39"/>
      <c r="J121" s="39"/>
      <c r="K121" s="39"/>
      <c r="L121" s="39"/>
      <c r="M121" s="39"/>
      <c r="N121" s="39"/>
      <c r="O121" s="39"/>
    </row>
    <row r="122" spans="1:15">
      <c r="A122" s="39" t="s">
        <v>139</v>
      </c>
      <c r="B122" s="39" t="s">
        <v>222</v>
      </c>
      <c r="C122" s="39" t="s">
        <v>45</v>
      </c>
      <c r="D122" s="39"/>
      <c r="E122" s="39"/>
      <c r="F122" s="39"/>
      <c r="G122" s="39"/>
      <c r="H122" s="39"/>
      <c r="I122" s="39"/>
      <c r="J122" s="39"/>
      <c r="K122" s="39"/>
      <c r="L122" s="39"/>
      <c r="M122" s="39"/>
      <c r="N122" s="39"/>
      <c r="O122" s="39"/>
    </row>
    <row r="123" spans="1:15">
      <c r="A123" s="39" t="s">
        <v>140</v>
      </c>
      <c r="B123" s="39" t="s">
        <v>223</v>
      </c>
      <c r="C123" s="39" t="s">
        <v>46</v>
      </c>
      <c r="D123" s="39"/>
      <c r="E123" s="39"/>
      <c r="F123" s="39"/>
      <c r="G123" s="39"/>
      <c r="H123" s="39"/>
      <c r="I123" s="39"/>
      <c r="J123" s="39"/>
      <c r="K123" s="39"/>
      <c r="L123" s="39"/>
      <c r="M123" s="39"/>
      <c r="N123" s="39"/>
      <c r="O123" s="39"/>
    </row>
    <row r="124" spans="1:15">
      <c r="A124" s="39" t="s">
        <v>141</v>
      </c>
      <c r="B124" s="39" t="s">
        <v>224</v>
      </c>
      <c r="C124" s="39" t="s">
        <v>47</v>
      </c>
      <c r="D124" s="39"/>
      <c r="E124" s="39"/>
      <c r="F124" s="39"/>
      <c r="G124" s="39"/>
      <c r="H124" s="39"/>
      <c r="I124" s="39"/>
      <c r="J124" s="39"/>
      <c r="K124" s="39"/>
      <c r="L124" s="39"/>
      <c r="M124" s="39"/>
      <c r="N124" s="39"/>
      <c r="O124" s="39"/>
    </row>
    <row r="125" spans="1:15">
      <c r="A125" s="39" t="s">
        <v>142</v>
      </c>
      <c r="B125" s="39" t="s">
        <v>225</v>
      </c>
      <c r="C125" s="39" t="s">
        <v>48</v>
      </c>
      <c r="D125" s="39"/>
      <c r="E125" s="39"/>
      <c r="F125" s="39"/>
      <c r="G125" s="39"/>
      <c r="H125" s="39"/>
      <c r="I125" s="39"/>
      <c r="J125" s="39"/>
      <c r="K125" s="39"/>
      <c r="L125" s="39"/>
      <c r="M125" s="39"/>
      <c r="N125" s="39"/>
      <c r="O125" s="39"/>
    </row>
    <row r="126" spans="1:15">
      <c r="A126" s="39" t="s">
        <v>143</v>
      </c>
      <c r="B126" s="39" t="s">
        <v>226</v>
      </c>
      <c r="C126" s="39" t="s">
        <v>49</v>
      </c>
      <c r="D126" s="39"/>
      <c r="E126" s="39"/>
      <c r="F126" s="39"/>
      <c r="G126" s="39"/>
      <c r="H126" s="39"/>
      <c r="I126" s="39"/>
      <c r="J126" s="39"/>
      <c r="K126" s="39"/>
      <c r="L126" s="39"/>
      <c r="M126" s="39"/>
      <c r="N126" s="39"/>
      <c r="O126" s="39"/>
    </row>
    <row r="127" spans="1:15" ht="25.5">
      <c r="A127" s="39" t="s">
        <v>296</v>
      </c>
      <c r="B127" s="39" t="s">
        <v>295</v>
      </c>
      <c r="C127" s="39" t="s">
        <v>290</v>
      </c>
      <c r="D127" s="39"/>
      <c r="E127" s="39"/>
      <c r="F127" s="39"/>
      <c r="G127" s="39"/>
      <c r="H127" s="39"/>
      <c r="I127" s="39"/>
      <c r="J127" s="39"/>
      <c r="K127" s="39"/>
      <c r="L127" s="39"/>
      <c r="M127" s="39"/>
      <c r="N127" s="39"/>
      <c r="O127" s="39"/>
    </row>
    <row r="128" spans="1:15">
      <c r="A128" s="39" t="s">
        <v>297</v>
      </c>
      <c r="B128" s="39" t="s">
        <v>298</v>
      </c>
      <c r="C128" s="39" t="s">
        <v>294</v>
      </c>
      <c r="D128" s="39"/>
      <c r="E128" s="39"/>
      <c r="F128" s="39"/>
      <c r="G128" s="39"/>
      <c r="H128" s="39"/>
      <c r="I128" s="39"/>
      <c r="J128" s="39"/>
      <c r="K128" s="39"/>
      <c r="L128" s="39"/>
      <c r="M128" s="39"/>
      <c r="N128" s="39"/>
      <c r="O128" s="39"/>
    </row>
    <row r="129" spans="1:15">
      <c r="A129" s="39" t="s">
        <v>301</v>
      </c>
      <c r="B129" s="39" t="s">
        <v>299</v>
      </c>
      <c r="C129" s="39" t="s">
        <v>291</v>
      </c>
      <c r="D129" s="39"/>
      <c r="E129" s="39"/>
      <c r="F129" s="39"/>
      <c r="G129" s="39"/>
      <c r="H129" s="39"/>
      <c r="I129" s="39"/>
      <c r="J129" s="39"/>
      <c r="K129" s="39"/>
      <c r="L129" s="39"/>
      <c r="M129" s="39"/>
      <c r="N129" s="39"/>
      <c r="O129" s="39"/>
    </row>
    <row r="130" spans="1:15">
      <c r="A130" s="39" t="s">
        <v>302</v>
      </c>
      <c r="B130" s="39" t="s">
        <v>300</v>
      </c>
      <c r="C130" s="39" t="s">
        <v>292</v>
      </c>
      <c r="D130" s="39"/>
      <c r="E130" s="39"/>
      <c r="F130" s="39"/>
      <c r="G130" s="39"/>
      <c r="H130" s="39"/>
      <c r="I130" s="39"/>
      <c r="J130" s="39"/>
      <c r="K130" s="39"/>
      <c r="L130" s="39"/>
      <c r="M130" s="39"/>
      <c r="N130" s="39"/>
      <c r="O130" s="39"/>
    </row>
    <row r="131" spans="1:15">
      <c r="A131" s="39" t="s">
        <v>144</v>
      </c>
      <c r="B131" s="39" t="s">
        <v>51</v>
      </c>
      <c r="C131" s="39" t="s">
        <v>51</v>
      </c>
      <c r="D131" s="39"/>
      <c r="E131" s="39"/>
      <c r="F131" s="39"/>
      <c r="G131" s="39"/>
      <c r="H131" s="39"/>
      <c r="I131" s="39"/>
      <c r="J131" s="39"/>
      <c r="K131" s="39"/>
      <c r="L131" s="39"/>
      <c r="M131" s="39"/>
      <c r="N131" s="39"/>
      <c r="O131" s="39"/>
    </row>
    <row r="132" spans="1:15">
      <c r="A132" s="39" t="s">
        <v>145</v>
      </c>
      <c r="B132" s="39" t="s">
        <v>1107</v>
      </c>
      <c r="C132" s="39" t="s">
        <v>50</v>
      </c>
      <c r="D132" s="39"/>
      <c r="E132" s="39"/>
      <c r="F132" s="39"/>
      <c r="G132" s="39"/>
      <c r="H132" s="39"/>
      <c r="I132" s="39"/>
      <c r="J132" s="39"/>
      <c r="K132" s="39"/>
      <c r="L132" s="39"/>
      <c r="M132" s="39"/>
      <c r="N132" s="39"/>
      <c r="O132" s="39"/>
    </row>
    <row r="133" spans="1:15">
      <c r="A133" s="39" t="s">
        <v>305</v>
      </c>
      <c r="B133" s="39" t="s">
        <v>303</v>
      </c>
      <c r="C133" s="39" t="s">
        <v>304</v>
      </c>
      <c r="D133" s="39"/>
      <c r="E133" s="39"/>
      <c r="F133" s="39"/>
      <c r="G133" s="39"/>
      <c r="H133" s="39"/>
      <c r="I133" s="39"/>
      <c r="J133" s="39"/>
      <c r="K133" s="39"/>
      <c r="L133" s="39"/>
      <c r="M133" s="39"/>
      <c r="N133" s="39"/>
      <c r="O133" s="39"/>
    </row>
    <row r="134" spans="1:15">
      <c r="A134" s="39" t="s">
        <v>306</v>
      </c>
      <c r="B134" s="39" t="s">
        <v>307</v>
      </c>
      <c r="C134" s="39" t="s">
        <v>308</v>
      </c>
      <c r="D134" s="39"/>
      <c r="E134" s="39"/>
      <c r="F134" s="39"/>
      <c r="G134" s="39"/>
      <c r="H134" s="39"/>
      <c r="I134" s="39"/>
      <c r="J134" s="39"/>
      <c r="K134" s="39"/>
      <c r="L134" s="39"/>
      <c r="M134" s="39"/>
      <c r="N134" s="39"/>
      <c r="O134" s="39"/>
    </row>
    <row r="135" spans="1:15">
      <c r="A135" s="39" t="s">
        <v>311</v>
      </c>
      <c r="B135" s="39" t="s">
        <v>310</v>
      </c>
      <c r="C135" s="39" t="s">
        <v>309</v>
      </c>
      <c r="D135" s="39"/>
      <c r="E135" s="39"/>
      <c r="F135" s="39"/>
      <c r="G135" s="39"/>
      <c r="H135" s="39"/>
      <c r="I135" s="39"/>
      <c r="J135" s="39"/>
      <c r="K135" s="39"/>
      <c r="L135" s="39"/>
      <c r="M135" s="39"/>
      <c r="N135" s="39"/>
      <c r="O135" s="39"/>
    </row>
    <row r="136" spans="1:15">
      <c r="A136" s="39" t="s">
        <v>146</v>
      </c>
      <c r="B136" s="39" t="s">
        <v>227</v>
      </c>
      <c r="C136" s="39" t="s">
        <v>41</v>
      </c>
      <c r="D136" s="39"/>
      <c r="E136" s="39"/>
      <c r="F136" s="39"/>
      <c r="G136" s="39"/>
      <c r="H136" s="39"/>
      <c r="I136" s="39"/>
      <c r="J136" s="39"/>
      <c r="K136" s="39"/>
      <c r="L136" s="39"/>
      <c r="M136" s="39"/>
      <c r="N136" s="39"/>
      <c r="O136" s="39"/>
    </row>
    <row r="137" spans="1:15">
      <c r="A137" s="39" t="s">
        <v>147</v>
      </c>
      <c r="B137" s="39" t="s">
        <v>1108</v>
      </c>
      <c r="C137" s="39" t="s">
        <v>42</v>
      </c>
      <c r="D137" s="39"/>
      <c r="E137" s="39"/>
      <c r="F137" s="39"/>
      <c r="G137" s="39"/>
      <c r="H137" s="39"/>
      <c r="I137" s="39"/>
      <c r="J137" s="39"/>
      <c r="K137" s="39"/>
      <c r="L137" s="39"/>
      <c r="M137" s="39"/>
      <c r="N137" s="39"/>
      <c r="O137" s="39"/>
    </row>
    <row r="138" spans="1:15" ht="25.5">
      <c r="A138" s="39" t="s">
        <v>148</v>
      </c>
      <c r="B138" s="39" t="s">
        <v>258</v>
      </c>
      <c r="C138" s="39" t="s">
        <v>43</v>
      </c>
      <c r="D138" s="39"/>
      <c r="E138" s="39"/>
      <c r="F138" s="39"/>
      <c r="G138" s="39"/>
      <c r="H138" s="39"/>
      <c r="I138" s="39"/>
      <c r="J138" s="39"/>
      <c r="K138" s="39"/>
      <c r="L138" s="39"/>
      <c r="M138" s="39"/>
      <c r="N138" s="39"/>
      <c r="O138" s="39"/>
    </row>
    <row r="139" spans="1:15">
      <c r="A139" s="39" t="s">
        <v>149</v>
      </c>
      <c r="B139" s="39" t="s">
        <v>228</v>
      </c>
      <c r="C139" s="39" t="s">
        <v>44</v>
      </c>
      <c r="D139" s="39"/>
      <c r="E139" s="39"/>
      <c r="F139" s="39"/>
      <c r="G139" s="39"/>
      <c r="H139" s="39"/>
      <c r="I139" s="39"/>
      <c r="J139" s="39"/>
      <c r="K139" s="39"/>
      <c r="L139" s="39"/>
      <c r="M139" s="39"/>
      <c r="N139" s="39"/>
      <c r="O139" s="39"/>
    </row>
    <row r="140" spans="1:15">
      <c r="A140" s="39" t="s">
        <v>150</v>
      </c>
      <c r="B140" s="39" t="s">
        <v>229</v>
      </c>
      <c r="C140" s="39" t="s">
        <v>312</v>
      </c>
      <c r="D140" s="39"/>
      <c r="E140" s="39"/>
      <c r="F140" s="39"/>
      <c r="G140" s="39"/>
      <c r="H140" s="39"/>
      <c r="I140" s="39"/>
      <c r="J140" s="39"/>
      <c r="K140" s="39"/>
      <c r="L140" s="39"/>
      <c r="M140" s="39"/>
      <c r="N140" s="39"/>
      <c r="O140" s="39"/>
    </row>
    <row r="141" spans="1:15">
      <c r="A141" s="39" t="s">
        <v>313</v>
      </c>
      <c r="B141" s="39" t="s">
        <v>314</v>
      </c>
      <c r="C141" s="39" t="s">
        <v>315</v>
      </c>
      <c r="D141" s="39"/>
      <c r="E141" s="39"/>
      <c r="F141" s="39"/>
      <c r="G141" s="39"/>
      <c r="H141" s="39"/>
      <c r="I141" s="39"/>
      <c r="J141" s="39"/>
      <c r="K141" s="39"/>
      <c r="L141" s="39"/>
      <c r="M141" s="39"/>
      <c r="N141" s="39"/>
      <c r="O141" s="39"/>
    </row>
    <row r="142" spans="1:15">
      <c r="A142" s="39" t="s">
        <v>316</v>
      </c>
      <c r="B142" s="39" t="s">
        <v>317</v>
      </c>
      <c r="C142" s="39" t="s">
        <v>318</v>
      </c>
      <c r="D142" s="39"/>
      <c r="E142" s="39"/>
      <c r="F142" s="39"/>
      <c r="G142" s="39"/>
      <c r="H142" s="39"/>
      <c r="I142" s="39"/>
      <c r="J142" s="39"/>
      <c r="K142" s="39"/>
      <c r="L142" s="39"/>
      <c r="M142" s="39"/>
      <c r="N142" s="39"/>
      <c r="O142" s="39"/>
    </row>
    <row r="143" spans="1:15" ht="25.5">
      <c r="A143" s="64" t="s">
        <v>158</v>
      </c>
      <c r="B143" s="64" t="s">
        <v>402</v>
      </c>
      <c r="C143" s="64" t="s">
        <v>240</v>
      </c>
      <c r="D143" s="39"/>
      <c r="E143" s="39"/>
      <c r="F143" s="39"/>
      <c r="G143" s="39"/>
      <c r="H143" s="39"/>
      <c r="I143" s="39"/>
      <c r="J143" s="39"/>
      <c r="K143" s="39"/>
      <c r="L143" s="39"/>
      <c r="M143" s="39"/>
      <c r="N143" s="39"/>
      <c r="O143" s="39"/>
    </row>
    <row r="144" spans="1:15">
      <c r="A144" s="22" t="s">
        <v>151</v>
      </c>
      <c r="B144" s="22" t="s">
        <v>230</v>
      </c>
      <c r="C144" s="22" t="s">
        <v>53</v>
      </c>
      <c r="D144" s="39"/>
      <c r="E144" s="39"/>
      <c r="F144" s="39"/>
      <c r="G144" s="39"/>
      <c r="H144" s="39"/>
      <c r="I144" s="39"/>
      <c r="J144" s="39"/>
      <c r="K144" s="39"/>
      <c r="L144" s="39"/>
      <c r="M144" s="39"/>
      <c r="N144" s="39"/>
      <c r="O144" s="39"/>
    </row>
    <row r="145" spans="1:15" ht="25.5">
      <c r="A145" s="39" t="s">
        <v>152</v>
      </c>
      <c r="B145" s="39" t="s">
        <v>231</v>
      </c>
      <c r="C145" s="39" t="s">
        <v>54</v>
      </c>
      <c r="D145" s="39"/>
      <c r="E145" s="39"/>
      <c r="F145" s="39"/>
      <c r="G145" s="39"/>
      <c r="H145" s="39"/>
      <c r="I145" s="39"/>
      <c r="J145" s="39"/>
      <c r="K145" s="39"/>
      <c r="L145" s="39"/>
      <c r="M145" s="39"/>
      <c r="N145" s="39"/>
      <c r="O145" s="39"/>
    </row>
    <row r="146" spans="1:15" ht="38.25">
      <c r="A146" s="39" t="s">
        <v>153</v>
      </c>
      <c r="B146" s="39" t="s">
        <v>1109</v>
      </c>
      <c r="C146" s="39" t="s">
        <v>1110</v>
      </c>
      <c r="D146" s="39"/>
      <c r="E146" s="39"/>
      <c r="F146" s="39"/>
      <c r="G146" s="39"/>
      <c r="H146" s="39"/>
      <c r="I146" s="39"/>
      <c r="J146" s="39"/>
      <c r="K146" s="39"/>
      <c r="L146" s="39"/>
      <c r="M146" s="39"/>
      <c r="N146" s="39"/>
      <c r="O146" s="39"/>
    </row>
    <row r="147" spans="1:15">
      <c r="A147" s="39" t="s">
        <v>154</v>
      </c>
      <c r="B147" s="39" t="s">
        <v>366</v>
      </c>
      <c r="C147" s="39" t="s">
        <v>367</v>
      </c>
      <c r="D147" s="39"/>
      <c r="E147" s="39"/>
      <c r="F147" s="39"/>
      <c r="G147" s="39"/>
      <c r="H147" s="39"/>
      <c r="I147" s="39"/>
      <c r="J147" s="39"/>
      <c r="K147" s="39"/>
      <c r="L147" s="39"/>
      <c r="M147" s="39"/>
      <c r="N147" s="39"/>
      <c r="O147" s="39"/>
    </row>
    <row r="148" spans="1:15" ht="25.5">
      <c r="A148" s="39" t="s">
        <v>155</v>
      </c>
      <c r="B148" s="39" t="s">
        <v>232</v>
      </c>
      <c r="C148" s="39" t="s">
        <v>368</v>
      </c>
      <c r="D148" s="39"/>
      <c r="E148" s="39"/>
      <c r="F148" s="39"/>
      <c r="G148" s="39"/>
      <c r="H148" s="39"/>
      <c r="I148" s="39"/>
      <c r="J148" s="39"/>
      <c r="K148" s="39"/>
      <c r="L148" s="39"/>
      <c r="M148" s="39"/>
      <c r="N148" s="39"/>
      <c r="O148" s="39"/>
    </row>
    <row r="149" spans="1:15" ht="25.5">
      <c r="A149" s="39" t="s">
        <v>156</v>
      </c>
      <c r="B149" s="39" t="s">
        <v>295</v>
      </c>
      <c r="C149" s="39" t="s">
        <v>52</v>
      </c>
      <c r="D149" s="39"/>
      <c r="E149" s="39"/>
      <c r="F149" s="39"/>
      <c r="G149" s="39"/>
      <c r="H149" s="39"/>
      <c r="I149" s="39"/>
      <c r="J149" s="39"/>
      <c r="K149" s="39"/>
      <c r="L149" s="39"/>
      <c r="M149" s="39"/>
      <c r="N149" s="39"/>
      <c r="O149" s="39"/>
    </row>
    <row r="150" spans="1:15" ht="25.5">
      <c r="A150" s="64" t="s">
        <v>159</v>
      </c>
      <c r="B150" s="64" t="s">
        <v>259</v>
      </c>
      <c r="C150" s="64" t="s">
        <v>241</v>
      </c>
      <c r="D150" s="39"/>
      <c r="E150" s="39"/>
      <c r="F150" s="39"/>
      <c r="G150" s="39"/>
      <c r="H150" s="39"/>
      <c r="I150" s="39"/>
      <c r="J150" s="39"/>
      <c r="K150" s="39"/>
      <c r="L150" s="39"/>
      <c r="M150" s="39"/>
      <c r="N150" s="39"/>
      <c r="O150" s="39"/>
    </row>
    <row r="151" spans="1:15" ht="25.5">
      <c r="A151" s="22" t="s">
        <v>160</v>
      </c>
      <c r="B151" s="22" t="s">
        <v>319</v>
      </c>
      <c r="C151" s="22" t="s">
        <v>162</v>
      </c>
      <c r="D151" s="39"/>
      <c r="E151" s="39"/>
      <c r="F151" s="39"/>
      <c r="G151" s="39"/>
      <c r="H151" s="39"/>
      <c r="I151" s="39"/>
      <c r="J151" s="39"/>
      <c r="K151" s="39"/>
      <c r="L151" s="39"/>
      <c r="M151" s="39"/>
      <c r="N151" s="39"/>
      <c r="O151" s="39"/>
    </row>
    <row r="152" spans="1:15">
      <c r="A152" s="40" t="s">
        <v>161</v>
      </c>
      <c r="B152" s="40" t="s">
        <v>233</v>
      </c>
      <c r="C152" s="40" t="s">
        <v>55</v>
      </c>
      <c r="D152" s="39"/>
      <c r="E152" s="39"/>
      <c r="F152" s="39"/>
      <c r="G152" s="39"/>
      <c r="H152" s="39"/>
      <c r="I152" s="39"/>
      <c r="J152" s="39"/>
      <c r="K152" s="39"/>
      <c r="L152" s="39"/>
      <c r="M152" s="39"/>
      <c r="N152" s="39"/>
      <c r="O152" s="39"/>
    </row>
    <row r="153" spans="1:15" ht="25.5">
      <c r="A153" s="22" t="s">
        <v>551</v>
      </c>
      <c r="B153" s="64" t="s">
        <v>550</v>
      </c>
      <c r="C153" s="22" t="s">
        <v>539</v>
      </c>
      <c r="D153" s="39"/>
      <c r="E153" s="39"/>
      <c r="F153" s="39"/>
      <c r="G153" s="39"/>
      <c r="H153" s="39"/>
      <c r="I153" s="39"/>
      <c r="J153" s="39"/>
      <c r="K153" s="39"/>
      <c r="L153" s="39"/>
      <c r="M153" s="39"/>
      <c r="N153" s="39"/>
      <c r="O153" s="39"/>
    </row>
    <row r="154" spans="1:15">
      <c r="A154" s="72" t="s">
        <v>473</v>
      </c>
      <c r="B154" s="73" t="s">
        <v>474</v>
      </c>
      <c r="C154" s="77" t="s">
        <v>548</v>
      </c>
      <c r="D154" s="39"/>
      <c r="E154" s="39"/>
      <c r="F154" s="39"/>
      <c r="G154" s="39"/>
      <c r="H154" s="39"/>
      <c r="I154" s="39"/>
      <c r="J154" s="39"/>
      <c r="K154" s="39"/>
      <c r="L154" s="39"/>
      <c r="M154" s="39"/>
      <c r="N154" s="39"/>
      <c r="O154" s="39"/>
    </row>
    <row r="155" spans="1:15">
      <c r="A155" s="72" t="s">
        <v>70</v>
      </c>
      <c r="B155" s="75" t="s">
        <v>475</v>
      </c>
      <c r="C155" s="75" t="s">
        <v>70</v>
      </c>
      <c r="D155" s="39"/>
      <c r="E155" s="39"/>
      <c r="F155" s="39"/>
      <c r="G155" s="39"/>
      <c r="H155" s="39"/>
      <c r="I155" s="39"/>
      <c r="J155" s="39"/>
      <c r="K155" s="39"/>
      <c r="L155" s="39"/>
      <c r="M155" s="39"/>
      <c r="N155" s="39"/>
      <c r="O155" s="39"/>
    </row>
    <row r="156" spans="1:15">
      <c r="A156" s="72" t="s">
        <v>71</v>
      </c>
      <c r="B156" s="75" t="s">
        <v>476</v>
      </c>
      <c r="C156" s="75" t="s">
        <v>71</v>
      </c>
      <c r="D156" s="39"/>
      <c r="E156" s="39"/>
      <c r="F156" s="39"/>
      <c r="G156" s="39"/>
      <c r="H156" s="39"/>
      <c r="I156" s="39"/>
      <c r="J156" s="39"/>
      <c r="K156" s="39"/>
      <c r="L156" s="39"/>
      <c r="M156" s="39"/>
      <c r="N156" s="39"/>
      <c r="O156" s="39"/>
    </row>
    <row r="157" spans="1:15" ht="25.5">
      <c r="A157" s="72" t="s">
        <v>477</v>
      </c>
      <c r="B157" s="75" t="s">
        <v>478</v>
      </c>
      <c r="C157" s="74" t="s">
        <v>479</v>
      </c>
      <c r="D157" s="39"/>
      <c r="E157" s="39"/>
      <c r="F157" s="39"/>
      <c r="G157" s="39"/>
      <c r="H157" s="39"/>
      <c r="I157" s="39"/>
      <c r="J157" s="39"/>
      <c r="K157" s="39"/>
      <c r="L157" s="39"/>
      <c r="M157" s="39"/>
      <c r="N157" s="39"/>
      <c r="O157" s="39"/>
    </row>
    <row r="158" spans="1:15" ht="25.5">
      <c r="A158" s="72" t="s">
        <v>480</v>
      </c>
      <c r="B158" s="22" t="s">
        <v>541</v>
      </c>
      <c r="C158" s="77" t="s">
        <v>542</v>
      </c>
      <c r="D158" s="39"/>
      <c r="E158" s="39"/>
      <c r="F158" s="39"/>
      <c r="G158" s="39"/>
      <c r="H158" s="39"/>
      <c r="I158" s="39"/>
      <c r="J158" s="39"/>
      <c r="K158" s="39"/>
      <c r="L158" s="39"/>
      <c r="M158" s="39"/>
      <c r="N158" s="39"/>
      <c r="O158" s="39"/>
    </row>
    <row r="159" spans="1:15" ht="25.5">
      <c r="A159" s="72" t="s">
        <v>481</v>
      </c>
      <c r="B159" s="22" t="s">
        <v>544</v>
      </c>
      <c r="C159" s="77" t="s">
        <v>543</v>
      </c>
      <c r="D159" s="39"/>
      <c r="E159" s="39"/>
      <c r="F159" s="39"/>
      <c r="G159" s="39"/>
      <c r="H159" s="39"/>
      <c r="I159" s="39"/>
      <c r="J159" s="39"/>
      <c r="K159" s="39"/>
      <c r="L159" s="39"/>
      <c r="M159" s="39"/>
      <c r="N159" s="39"/>
      <c r="O159" s="39"/>
    </row>
    <row r="160" spans="1:15" ht="38.25">
      <c r="A160" s="72" t="s">
        <v>482</v>
      </c>
      <c r="B160" s="22" t="s">
        <v>1078</v>
      </c>
      <c r="C160" s="77" t="s">
        <v>1079</v>
      </c>
      <c r="D160" s="39"/>
      <c r="E160" s="39"/>
      <c r="F160" s="39"/>
      <c r="G160" s="39"/>
      <c r="H160" s="39"/>
      <c r="I160" s="39"/>
      <c r="J160" s="39"/>
      <c r="K160" s="39"/>
      <c r="L160" s="39"/>
      <c r="M160" s="39"/>
      <c r="N160" s="39"/>
      <c r="O160" s="39"/>
    </row>
    <row r="161" spans="1:15" ht="25.5">
      <c r="A161" s="49" t="s">
        <v>483</v>
      </c>
      <c r="B161" s="73" t="s">
        <v>484</v>
      </c>
      <c r="C161" s="77" t="s">
        <v>545</v>
      </c>
      <c r="D161" s="39"/>
      <c r="E161" s="39"/>
      <c r="F161" s="39"/>
      <c r="G161" s="39"/>
      <c r="H161" s="39"/>
      <c r="I161" s="39"/>
      <c r="J161" s="39"/>
      <c r="K161" s="39"/>
      <c r="L161" s="39"/>
      <c r="M161" s="39"/>
      <c r="N161" s="39"/>
      <c r="O161" s="39"/>
    </row>
    <row r="162" spans="1:15" ht="25.5">
      <c r="A162" s="49" t="s">
        <v>485</v>
      </c>
      <c r="B162" s="73" t="s">
        <v>486</v>
      </c>
      <c r="C162" s="74" t="s">
        <v>487</v>
      </c>
      <c r="D162" s="39"/>
      <c r="E162" s="39"/>
      <c r="F162" s="39"/>
      <c r="G162" s="39"/>
      <c r="H162" s="39"/>
      <c r="I162" s="39"/>
      <c r="J162" s="39"/>
      <c r="K162" s="39"/>
      <c r="L162" s="39"/>
      <c r="M162" s="39"/>
      <c r="N162" s="39"/>
      <c r="O162" s="39"/>
    </row>
    <row r="163" spans="1:15" ht="25.5">
      <c r="A163" s="72" t="s">
        <v>488</v>
      </c>
      <c r="B163" s="22" t="s">
        <v>1080</v>
      </c>
      <c r="C163" s="74" t="s">
        <v>489</v>
      </c>
      <c r="D163" s="39"/>
      <c r="E163" s="39"/>
      <c r="F163" s="39"/>
      <c r="G163" s="39"/>
      <c r="H163" s="39"/>
      <c r="I163" s="39"/>
      <c r="J163" s="39"/>
      <c r="K163" s="39"/>
      <c r="L163" s="39"/>
      <c r="M163" s="39"/>
      <c r="N163" s="39"/>
      <c r="O163" s="39"/>
    </row>
    <row r="164" spans="1:15" ht="38.25">
      <c r="A164" s="72" t="s">
        <v>490</v>
      </c>
      <c r="B164" s="73" t="s">
        <v>491</v>
      </c>
      <c r="C164" s="77" t="s">
        <v>1112</v>
      </c>
      <c r="D164" s="39"/>
      <c r="E164" s="39"/>
      <c r="F164" s="39"/>
      <c r="G164" s="39"/>
      <c r="H164" s="39"/>
      <c r="I164" s="39"/>
      <c r="J164" s="39"/>
      <c r="K164" s="39"/>
      <c r="L164" s="39"/>
      <c r="M164" s="39"/>
      <c r="N164" s="39"/>
      <c r="O164" s="39"/>
    </row>
    <row r="165" spans="1:15" ht="25.5">
      <c r="A165" s="72" t="s">
        <v>492</v>
      </c>
      <c r="B165" s="73" t="s">
        <v>493</v>
      </c>
      <c r="C165" s="77" t="s">
        <v>1081</v>
      </c>
      <c r="D165" s="39"/>
      <c r="E165" s="39"/>
      <c r="F165" s="39"/>
      <c r="G165" s="39"/>
      <c r="H165" s="39"/>
      <c r="I165" s="39"/>
      <c r="J165" s="39"/>
      <c r="K165" s="39"/>
      <c r="L165" s="39"/>
      <c r="M165" s="39"/>
      <c r="N165" s="39"/>
      <c r="O165" s="39"/>
    </row>
    <row r="166" spans="1:15" ht="38.25">
      <c r="A166" s="72" t="s">
        <v>494</v>
      </c>
      <c r="B166" s="73" t="s">
        <v>495</v>
      </c>
      <c r="C166" s="77" t="s">
        <v>1111</v>
      </c>
      <c r="D166" s="39"/>
      <c r="E166" s="39"/>
      <c r="F166" s="39"/>
      <c r="G166" s="39"/>
      <c r="H166" s="39"/>
      <c r="I166" s="39"/>
      <c r="J166" s="39"/>
      <c r="K166" s="39"/>
      <c r="L166" s="39"/>
      <c r="M166" s="39"/>
      <c r="N166" s="39"/>
      <c r="O166" s="39"/>
    </row>
    <row r="167" spans="1:15" ht="38.25">
      <c r="A167" s="72" t="s">
        <v>496</v>
      </c>
      <c r="B167" s="22" t="s">
        <v>546</v>
      </c>
      <c r="C167" s="74" t="s">
        <v>497</v>
      </c>
      <c r="D167" s="39"/>
      <c r="E167" s="39"/>
      <c r="F167" s="39"/>
      <c r="G167" s="39"/>
      <c r="H167" s="39"/>
      <c r="I167" s="39"/>
      <c r="J167" s="39"/>
      <c r="K167" s="39"/>
      <c r="L167" s="39"/>
      <c r="M167" s="39"/>
      <c r="N167" s="39"/>
      <c r="O167" s="39"/>
    </row>
    <row r="168" spans="1:15">
      <c r="A168" s="72" t="s">
        <v>498</v>
      </c>
      <c r="B168" s="73" t="s">
        <v>499</v>
      </c>
      <c r="C168" s="74" t="s">
        <v>500</v>
      </c>
      <c r="D168" s="39"/>
      <c r="E168" s="39"/>
      <c r="F168" s="39"/>
      <c r="G168" s="39"/>
      <c r="H168" s="39"/>
      <c r="I168" s="39"/>
      <c r="J168" s="39"/>
      <c r="K168" s="39"/>
      <c r="L168" s="39"/>
      <c r="M168" s="39"/>
      <c r="N168" s="39"/>
      <c r="O168" s="39"/>
    </row>
    <row r="169" spans="1:15">
      <c r="A169" s="72" t="s">
        <v>501</v>
      </c>
      <c r="B169" s="73" t="s">
        <v>502</v>
      </c>
      <c r="C169" s="74" t="s">
        <v>503</v>
      </c>
      <c r="D169" s="39"/>
      <c r="E169" s="39"/>
      <c r="F169" s="39"/>
      <c r="G169" s="39"/>
      <c r="H169" s="39"/>
      <c r="I169" s="39"/>
      <c r="J169" s="39"/>
      <c r="K169" s="39"/>
      <c r="L169" s="39"/>
      <c r="M169" s="39"/>
      <c r="N169" s="39"/>
      <c r="O169" s="39"/>
    </row>
    <row r="170" spans="1:15">
      <c r="A170" s="72" t="s">
        <v>504</v>
      </c>
      <c r="B170" s="73" t="s">
        <v>505</v>
      </c>
      <c r="C170" s="74" t="s">
        <v>506</v>
      </c>
      <c r="D170" s="39"/>
      <c r="E170" s="39"/>
      <c r="F170" s="39"/>
      <c r="G170" s="39"/>
      <c r="H170" s="39"/>
      <c r="I170" s="39"/>
      <c r="J170" s="39"/>
      <c r="K170" s="39"/>
      <c r="L170" s="39"/>
      <c r="M170" s="39"/>
      <c r="N170" s="39"/>
      <c r="O170" s="39"/>
    </row>
    <row r="171" spans="1:15">
      <c r="A171" s="72" t="s">
        <v>507</v>
      </c>
      <c r="B171" s="73" t="s">
        <v>508</v>
      </c>
      <c r="C171" s="74" t="s">
        <v>509</v>
      </c>
      <c r="D171" s="39"/>
      <c r="E171" s="39"/>
      <c r="F171" s="39"/>
      <c r="G171" s="39"/>
      <c r="H171" s="39"/>
      <c r="I171" s="39"/>
      <c r="J171" s="39"/>
      <c r="K171" s="39"/>
      <c r="L171" s="39"/>
      <c r="M171" s="39"/>
      <c r="N171" s="39"/>
      <c r="O171" s="39"/>
    </row>
    <row r="172" spans="1:15">
      <c r="A172" s="72" t="s">
        <v>510</v>
      </c>
      <c r="B172" s="73" t="s">
        <v>511</v>
      </c>
      <c r="C172" s="74" t="s">
        <v>900</v>
      </c>
      <c r="D172" s="39"/>
      <c r="E172" s="39"/>
      <c r="F172" s="39"/>
      <c r="G172" s="39"/>
      <c r="H172" s="39"/>
      <c r="I172" s="39"/>
      <c r="J172" s="39"/>
      <c r="K172" s="39"/>
      <c r="L172" s="39"/>
      <c r="M172" s="39"/>
      <c r="N172" s="39"/>
      <c r="O172" s="39"/>
    </row>
    <row r="173" spans="1:15">
      <c r="A173" s="72" t="s">
        <v>512</v>
      </c>
      <c r="B173" s="73" t="s">
        <v>512</v>
      </c>
      <c r="C173" s="74" t="s">
        <v>513</v>
      </c>
      <c r="D173" s="39"/>
      <c r="E173" s="39"/>
      <c r="F173" s="39"/>
      <c r="G173" s="39"/>
      <c r="H173" s="39"/>
      <c r="I173" s="39"/>
      <c r="J173" s="39"/>
      <c r="K173" s="39"/>
      <c r="L173" s="39"/>
      <c r="M173" s="39"/>
      <c r="N173" s="39"/>
      <c r="O173" s="39"/>
    </row>
    <row r="174" spans="1:15">
      <c r="A174" s="72" t="s">
        <v>514</v>
      </c>
      <c r="B174" s="73" t="s">
        <v>514</v>
      </c>
      <c r="C174" s="74" t="s">
        <v>515</v>
      </c>
      <c r="D174" s="39"/>
      <c r="E174" s="39"/>
      <c r="F174" s="39"/>
      <c r="G174" s="39"/>
      <c r="H174" s="39"/>
      <c r="I174" s="39"/>
      <c r="J174" s="39"/>
      <c r="K174" s="39"/>
      <c r="L174" s="39"/>
      <c r="M174" s="39"/>
      <c r="N174" s="39"/>
      <c r="O174" s="39"/>
    </row>
    <row r="175" spans="1:15">
      <c r="A175" s="72" t="s">
        <v>516</v>
      </c>
      <c r="B175" s="73" t="s">
        <v>517</v>
      </c>
      <c r="C175" s="74" t="s">
        <v>518</v>
      </c>
      <c r="D175" s="39"/>
      <c r="E175" s="39"/>
      <c r="F175" s="39"/>
      <c r="G175" s="39"/>
      <c r="H175" s="39"/>
      <c r="I175" s="39"/>
      <c r="J175" s="39"/>
      <c r="K175" s="39"/>
      <c r="L175" s="39"/>
      <c r="M175" s="39"/>
      <c r="N175" s="39"/>
      <c r="O175" s="39"/>
    </row>
    <row r="176" spans="1:15">
      <c r="A176" s="72" t="s">
        <v>519</v>
      </c>
      <c r="B176" s="73" t="s">
        <v>520</v>
      </c>
      <c r="C176" s="74" t="s">
        <v>521</v>
      </c>
      <c r="D176" s="39"/>
      <c r="E176" s="39"/>
      <c r="F176" s="39"/>
      <c r="G176" s="39"/>
      <c r="H176" s="39"/>
      <c r="I176" s="39"/>
      <c r="J176" s="39"/>
      <c r="K176" s="39"/>
      <c r="L176" s="39"/>
      <c r="M176" s="39"/>
      <c r="N176" s="39"/>
      <c r="O176" s="39"/>
    </row>
    <row r="177" spans="1:15">
      <c r="A177" s="70" t="s">
        <v>522</v>
      </c>
      <c r="B177" s="70" t="s">
        <v>523</v>
      </c>
      <c r="C177" s="70" t="s">
        <v>524</v>
      </c>
      <c r="D177" s="39"/>
      <c r="E177" s="39"/>
      <c r="F177" s="39"/>
      <c r="G177" s="39"/>
      <c r="H177" s="39"/>
      <c r="I177" s="39"/>
      <c r="J177" s="39"/>
      <c r="K177" s="39"/>
      <c r="L177" s="39"/>
      <c r="M177" s="39"/>
      <c r="N177" s="39"/>
      <c r="O177" s="39"/>
    </row>
    <row r="178" spans="1:15">
      <c r="A178" s="70" t="s">
        <v>525</v>
      </c>
      <c r="B178" s="70" t="s">
        <v>526</v>
      </c>
      <c r="C178" s="70" t="s">
        <v>527</v>
      </c>
      <c r="D178" s="39"/>
      <c r="E178" s="39"/>
      <c r="F178" s="39"/>
      <c r="G178" s="39"/>
      <c r="H178" s="39"/>
      <c r="I178" s="39"/>
      <c r="J178" s="39"/>
      <c r="K178" s="39"/>
      <c r="L178" s="39"/>
      <c r="M178" s="39"/>
      <c r="N178" s="39"/>
      <c r="O178" s="39"/>
    </row>
    <row r="179" spans="1:15">
      <c r="A179" s="70" t="s">
        <v>528</v>
      </c>
      <c r="B179" s="70" t="s">
        <v>529</v>
      </c>
      <c r="C179" s="70" t="s">
        <v>530</v>
      </c>
      <c r="D179" s="39"/>
      <c r="E179" s="39"/>
      <c r="F179" s="39"/>
      <c r="G179" s="39"/>
      <c r="H179" s="39"/>
      <c r="I179" s="39"/>
      <c r="J179" s="39"/>
      <c r="K179" s="39"/>
      <c r="L179" s="39"/>
      <c r="M179" s="39"/>
      <c r="N179" s="39"/>
      <c r="O179" s="39"/>
    </row>
    <row r="180" spans="1:15">
      <c r="A180" s="70" t="s">
        <v>531</v>
      </c>
      <c r="B180" s="70" t="s">
        <v>532</v>
      </c>
      <c r="C180" s="70" t="s">
        <v>533</v>
      </c>
      <c r="D180" s="39"/>
      <c r="E180" s="39"/>
      <c r="F180" s="39"/>
      <c r="G180" s="39"/>
      <c r="H180" s="39"/>
      <c r="I180" s="39"/>
      <c r="J180" s="39"/>
      <c r="K180" s="39"/>
      <c r="L180" s="39"/>
      <c r="M180" s="39"/>
      <c r="N180" s="39"/>
      <c r="O180" s="39"/>
    </row>
    <row r="181" spans="1:15">
      <c r="A181" s="70" t="s">
        <v>534</v>
      </c>
      <c r="B181" s="70" t="s">
        <v>535</v>
      </c>
      <c r="C181" s="70" t="s">
        <v>536</v>
      </c>
      <c r="D181" s="39"/>
      <c r="E181" s="39"/>
      <c r="F181" s="39"/>
      <c r="G181" s="39"/>
      <c r="H181" s="39"/>
      <c r="I181" s="39"/>
      <c r="J181" s="39"/>
      <c r="K181" s="39"/>
      <c r="L181" s="39"/>
      <c r="M181" s="39"/>
      <c r="N181" s="39"/>
      <c r="O181" s="39"/>
    </row>
    <row r="182" spans="1:15">
      <c r="A182" s="72" t="s">
        <v>537</v>
      </c>
      <c r="B182" s="22" t="s">
        <v>549</v>
      </c>
      <c r="C182" s="74" t="s">
        <v>538</v>
      </c>
      <c r="D182" s="39"/>
      <c r="E182" s="39"/>
      <c r="F182" s="39"/>
      <c r="G182" s="39"/>
      <c r="H182" s="39"/>
      <c r="I182" s="39"/>
      <c r="J182" s="39"/>
      <c r="K182" s="39"/>
      <c r="L182" s="39"/>
      <c r="M182" s="39"/>
      <c r="N182" s="39"/>
      <c r="O182" s="39"/>
    </row>
    <row r="183" spans="1:15" ht="25.5">
      <c r="A183" s="239" t="s">
        <v>553</v>
      </c>
      <c r="B183" s="64" t="s">
        <v>552</v>
      </c>
      <c r="C183" s="111" t="s">
        <v>289</v>
      </c>
      <c r="D183" s="39"/>
      <c r="E183" s="39"/>
      <c r="F183" s="39"/>
      <c r="G183" s="39"/>
      <c r="H183" s="39"/>
      <c r="I183" s="39"/>
      <c r="J183" s="39"/>
      <c r="K183" s="39"/>
      <c r="L183" s="39"/>
      <c r="M183" s="39"/>
      <c r="N183" s="39"/>
      <c r="O183" s="39"/>
    </row>
    <row r="184" spans="1:15">
      <c r="A184" s="65" t="s">
        <v>320</v>
      </c>
      <c r="B184" s="65" t="s">
        <v>322</v>
      </c>
      <c r="C184" s="65" t="s">
        <v>321</v>
      </c>
    </row>
    <row r="185" spans="1:15">
      <c r="A185" s="65" t="s">
        <v>324</v>
      </c>
      <c r="B185" s="65" t="s">
        <v>323</v>
      </c>
      <c r="C185" s="35" t="s">
        <v>325</v>
      </c>
    </row>
    <row r="186" spans="1:15">
      <c r="A186" s="66" t="s">
        <v>326</v>
      </c>
      <c r="B186" s="66" t="s">
        <v>327</v>
      </c>
      <c r="C186" s="66" t="s">
        <v>328</v>
      </c>
    </row>
    <row r="187" spans="1:15" ht="25.5">
      <c r="A187" s="64" t="s">
        <v>470</v>
      </c>
      <c r="B187" s="64" t="s">
        <v>471</v>
      </c>
      <c r="C187" s="64" t="s">
        <v>472</v>
      </c>
    </row>
    <row r="188" spans="1:15" ht="25.5">
      <c r="A188" s="65" t="s">
        <v>469</v>
      </c>
      <c r="B188" s="65" t="s">
        <v>335</v>
      </c>
      <c r="C188" s="39" t="s">
        <v>329</v>
      </c>
    </row>
    <row r="189" spans="1:15">
      <c r="A189" s="65" t="s">
        <v>330</v>
      </c>
      <c r="B189" s="65" t="s">
        <v>332</v>
      </c>
      <c r="C189" s="35" t="s">
        <v>331</v>
      </c>
    </row>
    <row r="190" spans="1:15">
      <c r="A190" s="65" t="s">
        <v>333</v>
      </c>
      <c r="B190" s="65" t="s">
        <v>334</v>
      </c>
      <c r="C190" s="35" t="s">
        <v>369</v>
      </c>
    </row>
    <row r="191" spans="1:15" ht="25.5">
      <c r="A191" s="40" t="s">
        <v>336</v>
      </c>
      <c r="B191" s="41" t="s">
        <v>337</v>
      </c>
      <c r="C191" s="40" t="s">
        <v>338</v>
      </c>
    </row>
    <row r="192" spans="1:15" ht="25.5">
      <c r="A192" s="39" t="s">
        <v>281</v>
      </c>
      <c r="B192" s="39" t="s">
        <v>282</v>
      </c>
      <c r="C192" s="39" t="s">
        <v>398</v>
      </c>
      <c r="D192" s="39"/>
      <c r="E192" s="39"/>
      <c r="F192" s="39"/>
      <c r="G192" s="39"/>
      <c r="H192" s="39"/>
      <c r="I192" s="39"/>
      <c r="J192" s="39"/>
      <c r="K192" s="39"/>
      <c r="L192" s="39"/>
      <c r="M192" s="39"/>
      <c r="N192" s="39"/>
      <c r="O192" s="39"/>
    </row>
    <row r="193" spans="1:6">
      <c r="A193" s="65" t="s">
        <v>340</v>
      </c>
      <c r="B193" s="65" t="s">
        <v>339</v>
      </c>
      <c r="C193" s="35" t="s">
        <v>341</v>
      </c>
    </row>
    <row r="194" spans="1:6">
      <c r="A194" s="65" t="s">
        <v>342</v>
      </c>
      <c r="B194" s="65" t="s">
        <v>343</v>
      </c>
      <c r="C194" s="35" t="s">
        <v>344</v>
      </c>
    </row>
    <row r="195" spans="1:6">
      <c r="A195" s="65" t="s">
        <v>347</v>
      </c>
      <c r="B195" s="65" t="s">
        <v>345</v>
      </c>
      <c r="C195" s="35" t="s">
        <v>346</v>
      </c>
    </row>
    <row r="196" spans="1:6">
      <c r="A196" s="65" t="s">
        <v>350</v>
      </c>
      <c r="B196" s="65" t="s">
        <v>348</v>
      </c>
      <c r="C196" s="35" t="s">
        <v>349</v>
      </c>
    </row>
    <row r="197" spans="1:6">
      <c r="A197" s="65" t="s">
        <v>351</v>
      </c>
      <c r="B197" s="65" t="s">
        <v>353</v>
      </c>
      <c r="C197" s="35" t="s">
        <v>352</v>
      </c>
    </row>
    <row r="198" spans="1:6">
      <c r="A198" s="65" t="s">
        <v>356</v>
      </c>
      <c r="B198" s="65" t="s">
        <v>354</v>
      </c>
      <c r="C198" s="35" t="s">
        <v>355</v>
      </c>
    </row>
    <row r="199" spans="1:6">
      <c r="A199" s="65" t="s">
        <v>881</v>
      </c>
      <c r="B199" s="65" t="s">
        <v>883</v>
      </c>
      <c r="C199" s="35" t="s">
        <v>882</v>
      </c>
    </row>
    <row r="200" spans="1:6" ht="192" customHeight="1">
      <c r="A200" s="265" t="s">
        <v>887</v>
      </c>
      <c r="B200" s="77" t="s">
        <v>904</v>
      </c>
      <c r="C200" s="268" t="s">
        <v>902</v>
      </c>
      <c r="E200" s="74"/>
      <c r="F200" s="266"/>
    </row>
    <row r="201" spans="1:6">
      <c r="A201" s="265" t="s">
        <v>888</v>
      </c>
      <c r="B201" s="74" t="s">
        <v>889</v>
      </c>
      <c r="C201" s="266" t="s">
        <v>901</v>
      </c>
      <c r="F201" s="39"/>
    </row>
    <row r="202" spans="1:6">
      <c r="A202" s="265" t="s">
        <v>884</v>
      </c>
      <c r="B202" s="72" t="s">
        <v>886</v>
      </c>
      <c r="C202" s="267" t="s">
        <v>885</v>
      </c>
      <c r="F202" s="39"/>
    </row>
    <row r="203" spans="1:6" ht="76.5">
      <c r="A203" s="66" t="s">
        <v>357</v>
      </c>
      <c r="B203" s="40" t="s">
        <v>903</v>
      </c>
      <c r="C203" s="40" t="s">
        <v>890</v>
      </c>
    </row>
    <row r="204" spans="1:6" ht="25.5">
      <c r="A204" s="65" t="s">
        <v>371</v>
      </c>
      <c r="B204" s="39" t="s">
        <v>1115</v>
      </c>
      <c r="C204" s="39" t="s">
        <v>370</v>
      </c>
    </row>
    <row r="205" spans="1:6" ht="25.5">
      <c r="A205" s="35" t="s">
        <v>358</v>
      </c>
      <c r="B205" s="39" t="s">
        <v>1113</v>
      </c>
      <c r="C205" s="35" t="s">
        <v>1114</v>
      </c>
    </row>
    <row r="206" spans="1:6" ht="25.5">
      <c r="A206" s="65" t="s">
        <v>359</v>
      </c>
      <c r="B206" s="65" t="s">
        <v>360</v>
      </c>
      <c r="C206" s="39" t="s">
        <v>361</v>
      </c>
    </row>
    <row r="207" spans="1:6">
      <c r="A207" s="65" t="s">
        <v>362</v>
      </c>
      <c r="B207" s="65" t="s">
        <v>363</v>
      </c>
      <c r="C207" s="35" t="s">
        <v>363</v>
      </c>
    </row>
    <row r="208" spans="1:6" ht="89.25">
      <c r="A208" s="40" t="s">
        <v>364</v>
      </c>
      <c r="B208" s="40" t="s">
        <v>1116</v>
      </c>
      <c r="C208" s="40" t="s">
        <v>1117</v>
      </c>
    </row>
    <row r="209" spans="1:3" ht="25.5">
      <c r="A209" s="240" t="s">
        <v>907</v>
      </c>
      <c r="B209" s="64" t="s">
        <v>908</v>
      </c>
      <c r="C209" s="64" t="s">
        <v>909</v>
      </c>
    </row>
    <row r="210" spans="1:3" ht="63.75">
      <c r="A210" s="65" t="s">
        <v>465</v>
      </c>
      <c r="B210" s="65" t="s">
        <v>905</v>
      </c>
      <c r="C210" s="39" t="s">
        <v>906</v>
      </c>
    </row>
    <row r="211" spans="1:3" ht="25.5">
      <c r="A211" s="240" t="s">
        <v>856</v>
      </c>
      <c r="B211" s="240" t="s">
        <v>857</v>
      </c>
      <c r="C211" s="64" t="s">
        <v>1118</v>
      </c>
    </row>
    <row r="212" spans="1:3">
      <c r="A212" s="65" t="s">
        <v>554</v>
      </c>
      <c r="B212" s="65" t="s">
        <v>875</v>
      </c>
      <c r="C212" s="22" t="s">
        <v>858</v>
      </c>
    </row>
    <row r="213" spans="1:3">
      <c r="A213" s="65" t="s">
        <v>843</v>
      </c>
      <c r="B213" s="65" t="s">
        <v>864</v>
      </c>
      <c r="C213" s="39" t="s">
        <v>859</v>
      </c>
    </row>
    <row r="214" spans="1:3">
      <c r="A214" s="65" t="s">
        <v>555</v>
      </c>
      <c r="B214" s="65" t="s">
        <v>872</v>
      </c>
      <c r="C214" s="39" t="s">
        <v>860</v>
      </c>
    </row>
    <row r="215" spans="1:3" ht="25.5">
      <c r="A215" s="65" t="s">
        <v>556</v>
      </c>
      <c r="B215" s="65" t="s">
        <v>870</v>
      </c>
      <c r="C215" s="39" t="s">
        <v>861</v>
      </c>
    </row>
    <row r="216" spans="1:3">
      <c r="A216" s="65" t="s">
        <v>557</v>
      </c>
      <c r="B216" s="65" t="s">
        <v>866</v>
      </c>
      <c r="C216" s="39" t="s">
        <v>874</v>
      </c>
    </row>
    <row r="217" spans="1:3" ht="25.5">
      <c r="A217" s="65" t="s">
        <v>558</v>
      </c>
      <c r="B217" s="65" t="s">
        <v>867</v>
      </c>
      <c r="C217" s="39" t="s">
        <v>871</v>
      </c>
    </row>
    <row r="218" spans="1:3">
      <c r="A218" s="65" t="s">
        <v>559</v>
      </c>
      <c r="B218" s="65" t="s">
        <v>868</v>
      </c>
      <c r="C218" s="39" t="s">
        <v>876</v>
      </c>
    </row>
    <row r="219" spans="1:3" ht="25.5">
      <c r="A219" s="65" t="s">
        <v>560</v>
      </c>
      <c r="B219" s="65" t="s">
        <v>869</v>
      </c>
      <c r="C219" s="39" t="s">
        <v>862</v>
      </c>
    </row>
    <row r="220" spans="1:3">
      <c r="A220" s="65" t="s">
        <v>563</v>
      </c>
      <c r="B220" s="65" t="s">
        <v>562</v>
      </c>
      <c r="C220" s="39" t="s">
        <v>561</v>
      </c>
    </row>
    <row r="221" spans="1:3">
      <c r="A221" s="65" t="s">
        <v>564</v>
      </c>
      <c r="B221" s="65" t="s">
        <v>865</v>
      </c>
      <c r="C221" s="39" t="s">
        <v>863</v>
      </c>
    </row>
    <row r="222" spans="1:3" ht="25.5">
      <c r="A222" s="240" t="s">
        <v>850</v>
      </c>
      <c r="B222" s="64" t="s">
        <v>851</v>
      </c>
      <c r="C222" s="64" t="s">
        <v>852</v>
      </c>
    </row>
    <row r="223" spans="1:3" ht="25.5">
      <c r="A223" s="65" t="s">
        <v>853</v>
      </c>
      <c r="B223" s="39" t="s">
        <v>854</v>
      </c>
      <c r="C223" s="39" t="s">
        <v>855</v>
      </c>
    </row>
    <row r="224" spans="1:3">
      <c r="A224" s="46" t="s">
        <v>565</v>
      </c>
      <c r="B224" s="46" t="s">
        <v>734</v>
      </c>
      <c r="C224" s="46" t="s">
        <v>1119</v>
      </c>
    </row>
    <row r="225" spans="1:3">
      <c r="A225" s="65" t="s">
        <v>566</v>
      </c>
      <c r="B225" s="65" t="s">
        <v>735</v>
      </c>
      <c r="C225" s="39" t="s">
        <v>583</v>
      </c>
    </row>
    <row r="226" spans="1:3">
      <c r="A226" s="65" t="s">
        <v>567</v>
      </c>
      <c r="B226" s="65" t="s">
        <v>594</v>
      </c>
      <c r="C226" s="39" t="s">
        <v>595</v>
      </c>
    </row>
    <row r="227" spans="1:3">
      <c r="A227" s="65" t="s">
        <v>568</v>
      </c>
      <c r="B227" s="65" t="s">
        <v>593</v>
      </c>
      <c r="C227" s="39" t="s">
        <v>568</v>
      </c>
    </row>
    <row r="228" spans="1:3">
      <c r="A228" s="65" t="s">
        <v>569</v>
      </c>
      <c r="B228" s="35" t="s">
        <v>582</v>
      </c>
      <c r="C228" s="35" t="s">
        <v>569</v>
      </c>
    </row>
    <row r="229" spans="1:3">
      <c r="A229" s="65" t="s">
        <v>570</v>
      </c>
      <c r="B229" s="35" t="s">
        <v>599</v>
      </c>
      <c r="C229" s="35" t="s">
        <v>597</v>
      </c>
    </row>
    <row r="230" spans="1:3">
      <c r="A230" s="65" t="s">
        <v>571</v>
      </c>
      <c r="B230" s="35" t="s">
        <v>598</v>
      </c>
      <c r="C230" s="35" t="s">
        <v>596</v>
      </c>
    </row>
    <row r="231" spans="1:3">
      <c r="A231" s="65" t="s">
        <v>572</v>
      </c>
      <c r="B231" s="35" t="s">
        <v>584</v>
      </c>
      <c r="C231" s="35" t="s">
        <v>573</v>
      </c>
    </row>
    <row r="232" spans="1:3">
      <c r="A232" s="65" t="s">
        <v>574</v>
      </c>
      <c r="B232" s="35" t="s">
        <v>591</v>
      </c>
      <c r="C232" s="35" t="s">
        <v>592</v>
      </c>
    </row>
    <row r="233" spans="1:3">
      <c r="A233" s="65" t="s">
        <v>575</v>
      </c>
      <c r="B233" s="35" t="s">
        <v>589</v>
      </c>
      <c r="C233" s="35" t="s">
        <v>590</v>
      </c>
    </row>
    <row r="234" spans="1:3">
      <c r="A234" s="65" t="s">
        <v>576</v>
      </c>
      <c r="B234" s="35" t="s">
        <v>588</v>
      </c>
      <c r="C234" s="35" t="s">
        <v>576</v>
      </c>
    </row>
    <row r="235" spans="1:3">
      <c r="A235" s="65" t="s">
        <v>577</v>
      </c>
      <c r="B235" s="35" t="s">
        <v>586</v>
      </c>
      <c r="C235" s="35" t="s">
        <v>578</v>
      </c>
    </row>
    <row r="236" spans="1:3">
      <c r="A236" s="65" t="s">
        <v>578</v>
      </c>
      <c r="B236" s="35" t="s">
        <v>585</v>
      </c>
      <c r="C236" s="35" t="s">
        <v>1120</v>
      </c>
    </row>
    <row r="237" spans="1:3">
      <c r="A237" s="65" t="s">
        <v>579</v>
      </c>
      <c r="B237" s="35" t="s">
        <v>736</v>
      </c>
      <c r="C237" s="35" t="s">
        <v>579</v>
      </c>
    </row>
    <row r="238" spans="1:3">
      <c r="A238" s="65" t="s">
        <v>580</v>
      </c>
      <c r="B238" s="35" t="s">
        <v>738</v>
      </c>
      <c r="C238" s="35" t="s">
        <v>587</v>
      </c>
    </row>
    <row r="239" spans="1:3">
      <c r="A239" s="65" t="s">
        <v>581</v>
      </c>
      <c r="B239" s="35" t="s">
        <v>737</v>
      </c>
      <c r="C239" s="35" t="s">
        <v>581</v>
      </c>
    </row>
    <row r="240" spans="1:3">
      <c r="A240" s="65" t="s">
        <v>601</v>
      </c>
      <c r="B240" s="35" t="s">
        <v>616</v>
      </c>
      <c r="C240" s="35" t="s">
        <v>600</v>
      </c>
    </row>
    <row r="241" spans="1:3">
      <c r="A241" s="65" t="s">
        <v>628</v>
      </c>
      <c r="B241" s="35" t="s">
        <v>612</v>
      </c>
      <c r="C241" s="35" t="s">
        <v>613</v>
      </c>
    </row>
    <row r="242" spans="1:3">
      <c r="A242" s="65" t="s">
        <v>626</v>
      </c>
      <c r="B242" s="35" t="s">
        <v>602</v>
      </c>
      <c r="C242" s="35" t="s">
        <v>627</v>
      </c>
    </row>
    <row r="243" spans="1:3">
      <c r="A243" s="65" t="s">
        <v>625</v>
      </c>
      <c r="B243" s="35" t="s">
        <v>603</v>
      </c>
      <c r="C243" s="35" t="s">
        <v>1121</v>
      </c>
    </row>
    <row r="244" spans="1:3">
      <c r="A244" s="35" t="s">
        <v>624</v>
      </c>
      <c r="B244" s="35" t="s">
        <v>604</v>
      </c>
      <c r="C244" s="35" t="s">
        <v>617</v>
      </c>
    </row>
    <row r="245" spans="1:3">
      <c r="A245" s="35" t="s">
        <v>623</v>
      </c>
      <c r="B245" s="35" t="s">
        <v>605</v>
      </c>
      <c r="C245" s="35" t="s">
        <v>611</v>
      </c>
    </row>
    <row r="246" spans="1:3">
      <c r="A246" s="35" t="s">
        <v>622</v>
      </c>
      <c r="B246" s="35" t="s">
        <v>606</v>
      </c>
      <c r="C246" s="35" t="s">
        <v>609</v>
      </c>
    </row>
    <row r="247" spans="1:3">
      <c r="A247" s="35" t="s">
        <v>621</v>
      </c>
      <c r="B247" s="35" t="s">
        <v>607</v>
      </c>
      <c r="C247" s="35" t="s">
        <v>610</v>
      </c>
    </row>
    <row r="248" spans="1:3">
      <c r="A248" s="35" t="s">
        <v>620</v>
      </c>
      <c r="B248" s="35" t="s">
        <v>608</v>
      </c>
      <c r="C248" s="35" t="s">
        <v>618</v>
      </c>
    </row>
    <row r="249" spans="1:3">
      <c r="A249" s="35" t="s">
        <v>619</v>
      </c>
      <c r="B249" s="35" t="s">
        <v>614</v>
      </c>
      <c r="C249" s="35" t="s">
        <v>615</v>
      </c>
    </row>
    <row r="250" spans="1:3">
      <c r="A250" s="35" t="s">
        <v>629</v>
      </c>
      <c r="B250" s="35" t="s">
        <v>1123</v>
      </c>
      <c r="C250" s="35" t="s">
        <v>1122</v>
      </c>
    </row>
    <row r="251" spans="1:3">
      <c r="A251" s="35" t="s">
        <v>693</v>
      </c>
      <c r="B251" s="35" t="s">
        <v>662</v>
      </c>
      <c r="C251" s="35" t="s">
        <v>1127</v>
      </c>
    </row>
    <row r="252" spans="1:3">
      <c r="A252" s="35" t="s">
        <v>733</v>
      </c>
      <c r="B252" s="35" t="s">
        <v>741</v>
      </c>
      <c r="C252" s="35" t="s">
        <v>1126</v>
      </c>
    </row>
    <row r="253" spans="1:3">
      <c r="A253" s="35" t="s">
        <v>695</v>
      </c>
      <c r="B253" s="35" t="s">
        <v>1130</v>
      </c>
      <c r="C253" s="35" t="s">
        <v>1129</v>
      </c>
    </row>
    <row r="254" spans="1:3">
      <c r="A254" s="35" t="s">
        <v>696</v>
      </c>
      <c r="B254" s="35" t="s">
        <v>1131</v>
      </c>
      <c r="C254" s="35" t="s">
        <v>1128</v>
      </c>
    </row>
    <row r="255" spans="1:3">
      <c r="A255" s="35" t="s">
        <v>697</v>
      </c>
      <c r="B255" s="35" t="s">
        <v>664</v>
      </c>
      <c r="C255" s="35" t="s">
        <v>630</v>
      </c>
    </row>
    <row r="256" spans="1:3">
      <c r="A256" s="35" t="s">
        <v>704</v>
      </c>
      <c r="B256" s="35" t="s">
        <v>691</v>
      </c>
      <c r="C256" s="35" t="s">
        <v>631</v>
      </c>
    </row>
    <row r="257" spans="1:3">
      <c r="A257" s="35" t="s">
        <v>698</v>
      </c>
      <c r="B257" s="35" t="s">
        <v>690</v>
      </c>
      <c r="C257" s="35" t="s">
        <v>632</v>
      </c>
    </row>
    <row r="258" spans="1:3">
      <c r="A258" s="35" t="s">
        <v>715</v>
      </c>
      <c r="B258" s="35" t="s">
        <v>689</v>
      </c>
      <c r="C258" s="35" t="s">
        <v>633</v>
      </c>
    </row>
    <row r="259" spans="1:3">
      <c r="A259" s="35" t="s">
        <v>714</v>
      </c>
      <c r="B259" s="35" t="s">
        <v>688</v>
      </c>
      <c r="C259" s="35" t="s">
        <v>1124</v>
      </c>
    </row>
    <row r="260" spans="1:3">
      <c r="A260" s="35" t="s">
        <v>716</v>
      </c>
      <c r="B260" s="35" t="s">
        <v>687</v>
      </c>
      <c r="C260" s="35" t="s">
        <v>649</v>
      </c>
    </row>
    <row r="261" spans="1:3">
      <c r="A261" s="35" t="s">
        <v>717</v>
      </c>
      <c r="B261" s="35" t="s">
        <v>686</v>
      </c>
      <c r="C261" s="35" t="s">
        <v>650</v>
      </c>
    </row>
    <row r="262" spans="1:3">
      <c r="A262" s="35" t="s">
        <v>718</v>
      </c>
      <c r="B262" s="35" t="s">
        <v>685</v>
      </c>
      <c r="C262" s="35" t="s">
        <v>634</v>
      </c>
    </row>
    <row r="263" spans="1:3">
      <c r="A263" s="35" t="s">
        <v>721</v>
      </c>
      <c r="B263" s="35" t="s">
        <v>680</v>
      </c>
      <c r="C263" s="35" t="s">
        <v>635</v>
      </c>
    </row>
    <row r="264" spans="1:3" ht="25.5">
      <c r="A264" s="35" t="s">
        <v>722</v>
      </c>
      <c r="B264" s="39" t="s">
        <v>1133</v>
      </c>
      <c r="C264" s="35" t="s">
        <v>1134</v>
      </c>
    </row>
    <row r="265" spans="1:3">
      <c r="A265" s="35" t="s">
        <v>723</v>
      </c>
      <c r="B265" s="35" t="s">
        <v>681</v>
      </c>
      <c r="C265" s="35" t="s">
        <v>636</v>
      </c>
    </row>
    <row r="266" spans="1:3">
      <c r="A266" s="35" t="s">
        <v>728</v>
      </c>
      <c r="B266" s="35" t="s">
        <v>682</v>
      </c>
      <c r="C266" s="35" t="s">
        <v>637</v>
      </c>
    </row>
    <row r="267" spans="1:3">
      <c r="A267" s="35" t="s">
        <v>727</v>
      </c>
      <c r="B267" s="35" t="s">
        <v>683</v>
      </c>
      <c r="C267" s="35" t="s">
        <v>1082</v>
      </c>
    </row>
    <row r="268" spans="1:3">
      <c r="A268" s="35" t="s">
        <v>726</v>
      </c>
      <c r="B268" s="35" t="s">
        <v>684</v>
      </c>
      <c r="C268" s="35" t="s">
        <v>638</v>
      </c>
    </row>
    <row r="269" spans="1:3" ht="25.5">
      <c r="A269" s="35" t="s">
        <v>701</v>
      </c>
      <c r="B269" s="39" t="s">
        <v>679</v>
      </c>
      <c r="C269" s="39" t="s">
        <v>639</v>
      </c>
    </row>
    <row r="270" spans="1:3" ht="25.5">
      <c r="A270" s="35" t="s">
        <v>702</v>
      </c>
      <c r="B270" s="39" t="s">
        <v>678</v>
      </c>
      <c r="C270" s="35" t="s">
        <v>1132</v>
      </c>
    </row>
    <row r="271" spans="1:3">
      <c r="A271" s="35" t="s">
        <v>703</v>
      </c>
      <c r="B271" s="35" t="s">
        <v>692</v>
      </c>
      <c r="C271" s="35" t="s">
        <v>640</v>
      </c>
    </row>
    <row r="272" spans="1:3">
      <c r="A272" s="35" t="s">
        <v>641</v>
      </c>
      <c r="B272" s="35" t="s">
        <v>675</v>
      </c>
      <c r="C272" s="35" t="s">
        <v>641</v>
      </c>
    </row>
    <row r="273" spans="1:3">
      <c r="A273" s="35" t="s">
        <v>642</v>
      </c>
      <c r="B273" s="35" t="s">
        <v>670</v>
      </c>
      <c r="C273" s="35" t="s">
        <v>642</v>
      </c>
    </row>
    <row r="274" spans="1:3" ht="25.5">
      <c r="A274" s="35" t="s">
        <v>732</v>
      </c>
      <c r="B274" s="39" t="s">
        <v>671</v>
      </c>
      <c r="C274" s="35" t="s">
        <v>643</v>
      </c>
    </row>
    <row r="275" spans="1:3">
      <c r="A275" s="35" t="s">
        <v>705</v>
      </c>
      <c r="B275" s="35" t="s">
        <v>672</v>
      </c>
      <c r="C275" s="35" t="s">
        <v>644</v>
      </c>
    </row>
    <row r="276" spans="1:3">
      <c r="A276" s="35" t="s">
        <v>706</v>
      </c>
      <c r="B276" s="35" t="s">
        <v>673</v>
      </c>
      <c r="C276" s="35" t="s">
        <v>645</v>
      </c>
    </row>
    <row r="277" spans="1:3">
      <c r="A277" s="35" t="s">
        <v>707</v>
      </c>
      <c r="B277" s="35" t="s">
        <v>674</v>
      </c>
      <c r="C277" s="35" t="s">
        <v>646</v>
      </c>
    </row>
    <row r="278" spans="1:3">
      <c r="A278" s="35" t="s">
        <v>711</v>
      </c>
      <c r="B278" s="35" t="s">
        <v>675</v>
      </c>
      <c r="C278" s="35" t="s">
        <v>647</v>
      </c>
    </row>
    <row r="279" spans="1:3">
      <c r="A279" s="35" t="s">
        <v>719</v>
      </c>
      <c r="B279" s="35" t="s">
        <v>676</v>
      </c>
      <c r="C279" s="35" t="s">
        <v>648</v>
      </c>
    </row>
    <row r="280" spans="1:3">
      <c r="A280" s="35" t="s">
        <v>720</v>
      </c>
      <c r="B280" s="35" t="s">
        <v>677</v>
      </c>
      <c r="C280" s="35" t="s">
        <v>651</v>
      </c>
    </row>
    <row r="281" spans="1:3">
      <c r="A281" s="35" t="s">
        <v>724</v>
      </c>
      <c r="B281" s="35" t="s">
        <v>666</v>
      </c>
      <c r="C281" s="35" t="s">
        <v>652</v>
      </c>
    </row>
    <row r="282" spans="1:3">
      <c r="A282" s="35" t="s">
        <v>725</v>
      </c>
      <c r="B282" s="35" t="s">
        <v>665</v>
      </c>
      <c r="C282" s="35" t="s">
        <v>653</v>
      </c>
    </row>
    <row r="283" spans="1:3">
      <c r="A283" s="35" t="s">
        <v>730</v>
      </c>
      <c r="B283" s="35" t="s">
        <v>667</v>
      </c>
      <c r="C283" s="35" t="s">
        <v>654</v>
      </c>
    </row>
    <row r="284" spans="1:3">
      <c r="A284" s="35" t="s">
        <v>729</v>
      </c>
      <c r="B284" s="35" t="s">
        <v>668</v>
      </c>
      <c r="C284" s="35" t="s">
        <v>1135</v>
      </c>
    </row>
    <row r="285" spans="1:3">
      <c r="A285" s="35" t="s">
        <v>731</v>
      </c>
      <c r="B285" s="35" t="s">
        <v>669</v>
      </c>
      <c r="C285" s="35" t="s">
        <v>655</v>
      </c>
    </row>
    <row r="286" spans="1:3">
      <c r="A286" s="35" t="s">
        <v>661</v>
      </c>
      <c r="B286" s="35" t="s">
        <v>1136</v>
      </c>
      <c r="C286" s="35" t="s">
        <v>656</v>
      </c>
    </row>
    <row r="287" spans="1:3">
      <c r="A287" s="35" t="s">
        <v>124</v>
      </c>
      <c r="B287" s="35" t="s">
        <v>186</v>
      </c>
      <c r="C287" s="35" t="s">
        <v>657</v>
      </c>
    </row>
    <row r="288" spans="1:3">
      <c r="A288" s="35" t="s">
        <v>660</v>
      </c>
      <c r="B288" s="35" t="s">
        <v>659</v>
      </c>
      <c r="C288" s="35" t="s">
        <v>658</v>
      </c>
    </row>
    <row r="289" spans="1:3">
      <c r="A289" s="35" t="s">
        <v>699</v>
      </c>
      <c r="B289" s="35" t="s">
        <v>742</v>
      </c>
      <c r="C289" s="35" t="s">
        <v>700</v>
      </c>
    </row>
    <row r="290" spans="1:3">
      <c r="A290" s="35" t="s">
        <v>709</v>
      </c>
      <c r="B290" s="35" t="s">
        <v>710</v>
      </c>
      <c r="C290" s="35" t="s">
        <v>708</v>
      </c>
    </row>
    <row r="291" spans="1:3" ht="25.5">
      <c r="A291" s="35" t="s">
        <v>713</v>
      </c>
      <c r="B291" s="39" t="s">
        <v>842</v>
      </c>
      <c r="C291" s="35" t="s">
        <v>712</v>
      </c>
    </row>
    <row r="292" spans="1:3">
      <c r="A292" s="35" t="s">
        <v>694</v>
      </c>
      <c r="B292" s="35" t="s">
        <v>663</v>
      </c>
      <c r="C292" s="35" t="s">
        <v>1125</v>
      </c>
    </row>
    <row r="293" spans="1:3">
      <c r="A293" s="35" t="s">
        <v>740</v>
      </c>
      <c r="B293" s="35" t="s">
        <v>739</v>
      </c>
      <c r="C293" s="35" t="s">
        <v>1137</v>
      </c>
    </row>
    <row r="294" spans="1:3">
      <c r="A294" s="35" t="s">
        <v>744</v>
      </c>
      <c r="B294" s="35" t="s">
        <v>743</v>
      </c>
      <c r="C294" s="35" t="s">
        <v>833</v>
      </c>
    </row>
    <row r="295" spans="1:3">
      <c r="A295" s="35" t="s">
        <v>763</v>
      </c>
      <c r="B295" s="35" t="s">
        <v>745</v>
      </c>
      <c r="C295" s="35" t="s">
        <v>762</v>
      </c>
    </row>
    <row r="296" spans="1:3">
      <c r="A296" s="35" t="s">
        <v>778</v>
      </c>
      <c r="B296" s="35" t="s">
        <v>746</v>
      </c>
      <c r="C296" s="35" t="s">
        <v>764</v>
      </c>
    </row>
    <row r="297" spans="1:3">
      <c r="A297" s="35" t="s">
        <v>803</v>
      </c>
      <c r="B297" s="35" t="s">
        <v>747</v>
      </c>
      <c r="C297" s="35" t="s">
        <v>51</v>
      </c>
    </row>
    <row r="298" spans="1:3">
      <c r="A298" s="35" t="s">
        <v>770</v>
      </c>
      <c r="B298" s="35" t="s">
        <v>1138</v>
      </c>
      <c r="C298" s="35" t="s">
        <v>770</v>
      </c>
    </row>
    <row r="299" spans="1:3">
      <c r="A299" s="35" t="s">
        <v>779</v>
      </c>
      <c r="B299" s="35" t="s">
        <v>748</v>
      </c>
      <c r="C299" s="35" t="s">
        <v>771</v>
      </c>
    </row>
    <row r="300" spans="1:3">
      <c r="A300" s="35" t="s">
        <v>795</v>
      </c>
      <c r="B300" s="35" t="s">
        <v>749</v>
      </c>
      <c r="C300" s="35" t="s">
        <v>772</v>
      </c>
    </row>
    <row r="301" spans="1:3">
      <c r="A301" s="35" t="s">
        <v>796</v>
      </c>
      <c r="B301" s="35" t="s">
        <v>754</v>
      </c>
      <c r="C301" s="35" t="s">
        <v>773</v>
      </c>
    </row>
    <row r="302" spans="1:3">
      <c r="A302" s="35" t="s">
        <v>780</v>
      </c>
      <c r="B302" s="35" t="s">
        <v>1140</v>
      </c>
      <c r="C302" s="35" t="s">
        <v>774</v>
      </c>
    </row>
    <row r="303" spans="1:3">
      <c r="A303" s="35" t="s">
        <v>781</v>
      </c>
      <c r="B303" s="35" t="s">
        <v>750</v>
      </c>
      <c r="C303" s="35" t="s">
        <v>1139</v>
      </c>
    </row>
    <row r="304" spans="1:3">
      <c r="A304" s="35" t="s">
        <v>782</v>
      </c>
      <c r="B304" s="35" t="s">
        <v>751</v>
      </c>
      <c r="C304" s="35" t="s">
        <v>775</v>
      </c>
    </row>
    <row r="305" spans="1:3">
      <c r="A305" s="35" t="s">
        <v>783</v>
      </c>
      <c r="B305" s="35" t="s">
        <v>777</v>
      </c>
      <c r="C305" s="35" t="s">
        <v>776</v>
      </c>
    </row>
    <row r="306" spans="1:3">
      <c r="A306" s="35" t="s">
        <v>784</v>
      </c>
      <c r="B306" s="35" t="s">
        <v>752</v>
      </c>
      <c r="C306" s="35" t="s">
        <v>765</v>
      </c>
    </row>
    <row r="307" spans="1:3">
      <c r="A307" s="35" t="s">
        <v>785</v>
      </c>
      <c r="B307" s="35" t="s">
        <v>753</v>
      </c>
      <c r="C307" s="35" t="s">
        <v>766</v>
      </c>
    </row>
    <row r="308" spans="1:3">
      <c r="A308" s="35" t="s">
        <v>786</v>
      </c>
      <c r="B308" s="35" t="s">
        <v>755</v>
      </c>
      <c r="C308" s="35" t="s">
        <v>1141</v>
      </c>
    </row>
    <row r="309" spans="1:3">
      <c r="A309" s="35" t="s">
        <v>787</v>
      </c>
      <c r="B309" s="35" t="s">
        <v>756</v>
      </c>
      <c r="C309" s="35" t="s">
        <v>1142</v>
      </c>
    </row>
    <row r="310" spans="1:3" ht="25.5">
      <c r="A310" s="35" t="s">
        <v>788</v>
      </c>
      <c r="B310" s="39" t="s">
        <v>757</v>
      </c>
      <c r="C310" s="39" t="s">
        <v>1143</v>
      </c>
    </row>
    <row r="311" spans="1:3">
      <c r="A311" s="35" t="s">
        <v>789</v>
      </c>
      <c r="B311" s="35" t="s">
        <v>758</v>
      </c>
      <c r="C311" s="35" t="s">
        <v>1144</v>
      </c>
    </row>
    <row r="312" spans="1:3">
      <c r="A312" s="35" t="s">
        <v>790</v>
      </c>
      <c r="B312" s="35" t="s">
        <v>759</v>
      </c>
      <c r="C312" s="35" t="s">
        <v>1145</v>
      </c>
    </row>
    <row r="313" spans="1:3">
      <c r="A313" s="35" t="s">
        <v>791</v>
      </c>
      <c r="B313" s="35" t="s">
        <v>760</v>
      </c>
      <c r="C313" s="35" t="s">
        <v>767</v>
      </c>
    </row>
    <row r="314" spans="1:3">
      <c r="A314" s="35" t="s">
        <v>792</v>
      </c>
      <c r="B314" s="35" t="s">
        <v>761</v>
      </c>
      <c r="C314" s="35" t="s">
        <v>768</v>
      </c>
    </row>
    <row r="315" spans="1:3">
      <c r="A315" s="35" t="s">
        <v>793</v>
      </c>
      <c r="B315" s="35" t="s">
        <v>1146</v>
      </c>
      <c r="C315" s="35" t="s">
        <v>769</v>
      </c>
    </row>
    <row r="316" spans="1:3">
      <c r="A316" s="35" t="s">
        <v>794</v>
      </c>
      <c r="B316" s="35" t="s">
        <v>675</v>
      </c>
      <c r="C316" s="35" t="s">
        <v>794</v>
      </c>
    </row>
    <row r="317" spans="1:3">
      <c r="A317" s="35" t="s">
        <v>797</v>
      </c>
      <c r="B317" s="35" t="s">
        <v>293</v>
      </c>
      <c r="C317" s="35" t="s">
        <v>797</v>
      </c>
    </row>
    <row r="318" spans="1:3">
      <c r="A318" s="35" t="s">
        <v>798</v>
      </c>
      <c r="B318" s="35" t="s">
        <v>801</v>
      </c>
      <c r="C318" s="35" t="s">
        <v>798</v>
      </c>
    </row>
    <row r="319" spans="1:3" ht="25.5">
      <c r="A319" s="35" t="s">
        <v>800</v>
      </c>
      <c r="B319" s="39" t="s">
        <v>802</v>
      </c>
      <c r="C319" s="39" t="s">
        <v>799</v>
      </c>
    </row>
    <row r="320" spans="1:3" ht="25.5">
      <c r="A320" s="35" t="s">
        <v>805</v>
      </c>
      <c r="B320" s="39" t="s">
        <v>804</v>
      </c>
      <c r="C320" s="39" t="s">
        <v>839</v>
      </c>
    </row>
    <row r="321" spans="1:3">
      <c r="A321" s="35" t="s">
        <v>807</v>
      </c>
      <c r="B321" s="35" t="s">
        <v>806</v>
      </c>
      <c r="C321" s="35" t="s">
        <v>1147</v>
      </c>
    </row>
    <row r="322" spans="1:3">
      <c r="A322" s="35" t="s">
        <v>809</v>
      </c>
      <c r="B322" s="35" t="s">
        <v>808</v>
      </c>
      <c r="C322" s="35" t="s">
        <v>1148</v>
      </c>
    </row>
    <row r="323" spans="1:3">
      <c r="A323" s="35" t="s">
        <v>811</v>
      </c>
      <c r="B323" s="35" t="s">
        <v>810</v>
      </c>
      <c r="C323" s="35" t="s">
        <v>1149</v>
      </c>
    </row>
    <row r="324" spans="1:3">
      <c r="A324" s="35" t="s">
        <v>814</v>
      </c>
      <c r="B324" s="35" t="s">
        <v>812</v>
      </c>
      <c r="C324" s="35" t="s">
        <v>813</v>
      </c>
    </row>
    <row r="325" spans="1:3">
      <c r="A325" s="35" t="s">
        <v>817</v>
      </c>
      <c r="B325" s="35" t="s">
        <v>815</v>
      </c>
      <c r="C325" s="35" t="s">
        <v>816</v>
      </c>
    </row>
    <row r="326" spans="1:3">
      <c r="A326" s="35" t="s">
        <v>820</v>
      </c>
      <c r="B326" s="35" t="s">
        <v>818</v>
      </c>
      <c r="C326" s="35" t="s">
        <v>819</v>
      </c>
    </row>
    <row r="327" spans="1:3">
      <c r="A327" s="35" t="s">
        <v>823</v>
      </c>
      <c r="B327" s="35" t="s">
        <v>821</v>
      </c>
      <c r="C327" s="35" t="s">
        <v>822</v>
      </c>
    </row>
    <row r="328" spans="1:3">
      <c r="A328" s="35" t="s">
        <v>825</v>
      </c>
      <c r="B328" s="35" t="s">
        <v>824</v>
      </c>
      <c r="C328" s="35" t="s">
        <v>841</v>
      </c>
    </row>
    <row r="329" spans="1:3">
      <c r="A329" s="35" t="s">
        <v>827</v>
      </c>
      <c r="B329" s="35" t="s">
        <v>826</v>
      </c>
      <c r="C329" s="35" t="s">
        <v>840</v>
      </c>
    </row>
    <row r="330" spans="1:3">
      <c r="A330" s="35" t="s">
        <v>829</v>
      </c>
      <c r="B330" s="35" t="s">
        <v>828</v>
      </c>
      <c r="C330" s="35" t="s">
        <v>836</v>
      </c>
    </row>
    <row r="331" spans="1:3">
      <c r="A331" s="35" t="s">
        <v>830</v>
      </c>
      <c r="B331" s="35" t="s">
        <v>830</v>
      </c>
      <c r="C331" s="35" t="s">
        <v>838</v>
      </c>
    </row>
    <row r="332" spans="1:3">
      <c r="A332" s="35" t="s">
        <v>832</v>
      </c>
      <c r="B332" s="35" t="s">
        <v>831</v>
      </c>
      <c r="C332" s="35" t="s">
        <v>837</v>
      </c>
    </row>
    <row r="333" spans="1:3">
      <c r="A333" s="35" t="s">
        <v>670</v>
      </c>
      <c r="B333" s="35" t="s">
        <v>834</v>
      </c>
      <c r="C333" s="35" t="s">
        <v>835</v>
      </c>
    </row>
    <row r="334" spans="1:3">
      <c r="A334" s="66" t="s">
        <v>847</v>
      </c>
      <c r="B334" s="66" t="s">
        <v>849</v>
      </c>
      <c r="C334" s="66" t="s">
        <v>848</v>
      </c>
    </row>
    <row r="335" spans="1:3" ht="25.5">
      <c r="A335" s="381" t="s">
        <v>891</v>
      </c>
      <c r="B335" s="64" t="s">
        <v>897</v>
      </c>
      <c r="C335" s="64" t="s">
        <v>896</v>
      </c>
    </row>
    <row r="336" spans="1:3">
      <c r="A336" s="46" t="s">
        <v>1075</v>
      </c>
      <c r="B336" s="73" t="s">
        <v>951</v>
      </c>
      <c r="C336" s="22" t="s">
        <v>1150</v>
      </c>
    </row>
    <row r="337" spans="1:3">
      <c r="A337" s="75" t="s">
        <v>952</v>
      </c>
      <c r="B337" s="266" t="s">
        <v>953</v>
      </c>
      <c r="C337" s="75" t="s">
        <v>954</v>
      </c>
    </row>
    <row r="338" spans="1:3" ht="25.5">
      <c r="A338" s="65" t="s">
        <v>1074</v>
      </c>
      <c r="B338" s="266" t="s">
        <v>955</v>
      </c>
      <c r="C338" s="75" t="s">
        <v>950</v>
      </c>
    </row>
    <row r="339" spans="1:3">
      <c r="A339" s="75" t="s">
        <v>956</v>
      </c>
      <c r="B339" s="266" t="s">
        <v>957</v>
      </c>
      <c r="C339" s="75" t="s">
        <v>916</v>
      </c>
    </row>
    <row r="340" spans="1:3">
      <c r="A340" s="75" t="s">
        <v>878</v>
      </c>
      <c r="B340" s="266" t="s">
        <v>958</v>
      </c>
      <c r="C340" s="75" t="s">
        <v>959</v>
      </c>
    </row>
    <row r="341" spans="1:3">
      <c r="A341" s="75" t="s">
        <v>960</v>
      </c>
      <c r="B341" s="266" t="s">
        <v>961</v>
      </c>
      <c r="C341" s="75" t="s">
        <v>917</v>
      </c>
    </row>
    <row r="342" spans="1:3" ht="25.5">
      <c r="A342" s="39" t="s">
        <v>962</v>
      </c>
      <c r="B342" s="379" t="s">
        <v>963</v>
      </c>
      <c r="C342" s="21" t="s">
        <v>918</v>
      </c>
    </row>
    <row r="343" spans="1:3" ht="25.5">
      <c r="A343" s="382" t="s">
        <v>964</v>
      </c>
      <c r="B343" s="380" t="s">
        <v>965</v>
      </c>
      <c r="C343" s="21" t="s">
        <v>919</v>
      </c>
    </row>
    <row r="344" spans="1:3" ht="25.5">
      <c r="A344" s="39" t="s">
        <v>966</v>
      </c>
      <c r="B344" s="21" t="s">
        <v>967</v>
      </c>
      <c r="C344" s="21" t="s">
        <v>968</v>
      </c>
    </row>
    <row r="345" spans="1:3">
      <c r="A345" s="21" t="s">
        <v>969</v>
      </c>
      <c r="B345" t="s">
        <v>970</v>
      </c>
      <c r="C345" s="21" t="s">
        <v>920</v>
      </c>
    </row>
    <row r="346" spans="1:3">
      <c r="A346" s="39" t="s">
        <v>971</v>
      </c>
      <c r="B346" t="s">
        <v>972</v>
      </c>
      <c r="C346" s="21" t="s">
        <v>921</v>
      </c>
    </row>
    <row r="347" spans="1:3" ht="25.5">
      <c r="A347" s="39" t="s">
        <v>973</v>
      </c>
      <c r="B347" s="21" t="s">
        <v>974</v>
      </c>
      <c r="C347" s="39" t="s">
        <v>1151</v>
      </c>
    </row>
    <row r="348" spans="1:3" ht="25.5">
      <c r="A348" s="21" t="s">
        <v>975</v>
      </c>
      <c r="B348" s="21" t="s">
        <v>976</v>
      </c>
      <c r="C348" s="21" t="s">
        <v>949</v>
      </c>
    </row>
    <row r="349" spans="1:3" ht="25.5">
      <c r="A349" s="21" t="s">
        <v>977</v>
      </c>
      <c r="B349" s="21" t="s">
        <v>978</v>
      </c>
      <c r="C349" s="21" t="s">
        <v>979</v>
      </c>
    </row>
    <row r="350" spans="1:3">
      <c r="A350" s="39" t="s">
        <v>980</v>
      </c>
      <c r="B350" t="s">
        <v>981</v>
      </c>
      <c r="C350" s="21" t="s">
        <v>922</v>
      </c>
    </row>
    <row r="351" spans="1:3">
      <c r="A351" s="21" t="s">
        <v>982</v>
      </c>
      <c r="B351" t="s">
        <v>983</v>
      </c>
      <c r="C351" s="39" t="s">
        <v>1152</v>
      </c>
    </row>
    <row r="352" spans="1:3" ht="25.5">
      <c r="A352" s="39" t="s">
        <v>984</v>
      </c>
      <c r="B352" t="s">
        <v>985</v>
      </c>
      <c r="C352" s="21" t="s">
        <v>986</v>
      </c>
    </row>
    <row r="353" spans="1:3">
      <c r="A353" s="21" t="s">
        <v>987</v>
      </c>
      <c r="B353" t="s">
        <v>988</v>
      </c>
      <c r="C353" s="21" t="s">
        <v>923</v>
      </c>
    </row>
    <row r="354" spans="1:3" ht="25.5">
      <c r="A354" s="39" t="s">
        <v>989</v>
      </c>
      <c r="B354" s="21" t="s">
        <v>990</v>
      </c>
      <c r="C354" s="39" t="s">
        <v>1153</v>
      </c>
    </row>
    <row r="355" spans="1:3">
      <c r="A355" s="21" t="s">
        <v>991</v>
      </c>
      <c r="B355" t="s">
        <v>992</v>
      </c>
      <c r="C355" s="21" t="s">
        <v>993</v>
      </c>
    </row>
    <row r="356" spans="1:3">
      <c r="A356" s="21" t="s">
        <v>994</v>
      </c>
      <c r="B356" t="s">
        <v>995</v>
      </c>
      <c r="C356" s="21" t="s">
        <v>994</v>
      </c>
    </row>
    <row r="357" spans="1:3">
      <c r="A357" s="21" t="s">
        <v>996</v>
      </c>
      <c r="B357" t="s">
        <v>997</v>
      </c>
      <c r="C357" s="21" t="s">
        <v>996</v>
      </c>
    </row>
    <row r="358" spans="1:3">
      <c r="A358" s="21" t="s">
        <v>924</v>
      </c>
      <c r="B358" t="s">
        <v>998</v>
      </c>
      <c r="C358" s="21" t="s">
        <v>924</v>
      </c>
    </row>
    <row r="359" spans="1:3">
      <c r="A359" s="21" t="s">
        <v>925</v>
      </c>
      <c r="B359" t="s">
        <v>999</v>
      </c>
      <c r="C359" s="21" t="s">
        <v>925</v>
      </c>
    </row>
    <row r="360" spans="1:3">
      <c r="A360" s="21" t="s">
        <v>926</v>
      </c>
      <c r="B360" t="s">
        <v>1000</v>
      </c>
      <c r="C360" s="21" t="s">
        <v>926</v>
      </c>
    </row>
    <row r="361" spans="1:3">
      <c r="A361" s="21" t="s">
        <v>1001</v>
      </c>
      <c r="B361" t="s">
        <v>1002</v>
      </c>
      <c r="C361" s="21" t="s">
        <v>930</v>
      </c>
    </row>
    <row r="362" spans="1:3">
      <c r="A362" s="21" t="s">
        <v>1003</v>
      </c>
      <c r="B362" s="35" t="s">
        <v>1154</v>
      </c>
      <c r="C362" s="21" t="s">
        <v>928</v>
      </c>
    </row>
    <row r="363" spans="1:3">
      <c r="A363" s="21" t="s">
        <v>1004</v>
      </c>
      <c r="B363" t="s">
        <v>1005</v>
      </c>
      <c r="C363" s="21" t="s">
        <v>929</v>
      </c>
    </row>
    <row r="364" spans="1:3">
      <c r="A364" s="21" t="s">
        <v>1006</v>
      </c>
      <c r="B364" t="s">
        <v>1007</v>
      </c>
      <c r="C364" s="39" t="s">
        <v>1155</v>
      </c>
    </row>
    <row r="365" spans="1:3">
      <c r="A365" s="21" t="s">
        <v>1008</v>
      </c>
      <c r="B365" t="s">
        <v>1009</v>
      </c>
      <c r="C365" s="39" t="s">
        <v>1156</v>
      </c>
    </row>
    <row r="366" spans="1:3">
      <c r="A366" s="21" t="s">
        <v>1010</v>
      </c>
      <c r="B366" t="s">
        <v>1011</v>
      </c>
      <c r="C366" s="21" t="s">
        <v>1012</v>
      </c>
    </row>
    <row r="367" spans="1:3">
      <c r="A367" s="21" t="s">
        <v>1013</v>
      </c>
      <c r="B367" t="s">
        <v>1014</v>
      </c>
      <c r="C367" s="21" t="s">
        <v>932</v>
      </c>
    </row>
    <row r="368" spans="1:3">
      <c r="A368" s="21" t="s">
        <v>1015</v>
      </c>
      <c r="B368" t="s">
        <v>1016</v>
      </c>
      <c r="C368" s="21" t="s">
        <v>931</v>
      </c>
    </row>
    <row r="369" spans="1:3">
      <c r="A369" s="21" t="s">
        <v>1017</v>
      </c>
      <c r="B369" t="s">
        <v>1018</v>
      </c>
      <c r="C369" s="21" t="s">
        <v>1019</v>
      </c>
    </row>
    <row r="370" spans="1:3">
      <c r="A370" s="21" t="s">
        <v>1020</v>
      </c>
      <c r="B370" t="s">
        <v>1021</v>
      </c>
      <c r="C370" s="21" t="s">
        <v>1022</v>
      </c>
    </row>
    <row r="371" spans="1:3" ht="25.5">
      <c r="A371" s="21" t="s">
        <v>1023</v>
      </c>
      <c r="B371" t="s">
        <v>1024</v>
      </c>
      <c r="C371" s="21" t="s">
        <v>927</v>
      </c>
    </row>
    <row r="372" spans="1:3">
      <c r="A372" s="21" t="s">
        <v>1025</v>
      </c>
      <c r="B372" t="s">
        <v>1026</v>
      </c>
      <c r="C372" s="39" t="s">
        <v>1158</v>
      </c>
    </row>
    <row r="373" spans="1:3">
      <c r="A373" s="21" t="s">
        <v>1027</v>
      </c>
      <c r="B373" t="s">
        <v>1028</v>
      </c>
      <c r="C373" s="21" t="s">
        <v>936</v>
      </c>
    </row>
    <row r="374" spans="1:3">
      <c r="A374" s="21" t="s">
        <v>1029</v>
      </c>
      <c r="B374" t="s">
        <v>1030</v>
      </c>
      <c r="C374" s="39" t="s">
        <v>1157</v>
      </c>
    </row>
    <row r="375" spans="1:3">
      <c r="A375" s="21" t="s">
        <v>1031</v>
      </c>
      <c r="B375" t="s">
        <v>1032</v>
      </c>
      <c r="C375" s="39" t="s">
        <v>1033</v>
      </c>
    </row>
    <row r="376" spans="1:3" ht="25.5">
      <c r="A376" s="21" t="s">
        <v>1034</v>
      </c>
      <c r="B376" t="s">
        <v>1035</v>
      </c>
      <c r="C376" s="21" t="s">
        <v>939</v>
      </c>
    </row>
    <row r="377" spans="1:3" ht="25.5">
      <c r="A377" s="21" t="s">
        <v>940</v>
      </c>
      <c r="B377" s="21" t="s">
        <v>1036</v>
      </c>
      <c r="C377" s="21" t="s">
        <v>940</v>
      </c>
    </row>
    <row r="378" spans="1:3" ht="25.5">
      <c r="A378" s="21" t="s">
        <v>1037</v>
      </c>
      <c r="B378" s="21" t="s">
        <v>1038</v>
      </c>
      <c r="C378" s="21" t="s">
        <v>1039</v>
      </c>
    </row>
    <row r="379" spans="1:3" ht="25.5">
      <c r="A379" s="21" t="s">
        <v>1040</v>
      </c>
      <c r="B379" s="21" t="s">
        <v>1041</v>
      </c>
      <c r="C379" s="21" t="s">
        <v>1042</v>
      </c>
    </row>
    <row r="380" spans="1:3">
      <c r="A380" s="21" t="s">
        <v>1043</v>
      </c>
      <c r="B380" t="s">
        <v>1044</v>
      </c>
      <c r="C380" s="21" t="s">
        <v>934</v>
      </c>
    </row>
    <row r="381" spans="1:3">
      <c r="A381" s="21" t="s">
        <v>933</v>
      </c>
      <c r="B381" t="s">
        <v>1045</v>
      </c>
      <c r="C381" s="21" t="s">
        <v>1046</v>
      </c>
    </row>
    <row r="382" spans="1:3">
      <c r="A382" s="21" t="s">
        <v>1047</v>
      </c>
      <c r="B382" t="s">
        <v>1048</v>
      </c>
      <c r="C382" s="21" t="s">
        <v>935</v>
      </c>
    </row>
    <row r="383" spans="1:3">
      <c r="A383" s="21" t="s">
        <v>1049</v>
      </c>
      <c r="B383" t="s">
        <v>1050</v>
      </c>
      <c r="C383" s="21" t="s">
        <v>1051</v>
      </c>
    </row>
    <row r="384" spans="1:3">
      <c r="A384" s="21" t="s">
        <v>1052</v>
      </c>
      <c r="B384" t="s">
        <v>1053</v>
      </c>
      <c r="C384" s="21" t="s">
        <v>938</v>
      </c>
    </row>
    <row r="385" spans="1:3">
      <c r="A385" s="21" t="s">
        <v>1054</v>
      </c>
      <c r="B385" t="s">
        <v>1055</v>
      </c>
      <c r="C385" s="21" t="s">
        <v>937</v>
      </c>
    </row>
    <row r="386" spans="1:3">
      <c r="A386" s="21" t="s">
        <v>1056</v>
      </c>
      <c r="B386" t="s">
        <v>1057</v>
      </c>
      <c r="C386" s="21" t="s">
        <v>1058</v>
      </c>
    </row>
    <row r="387" spans="1:3" ht="25.5">
      <c r="A387" s="21" t="s">
        <v>1059</v>
      </c>
      <c r="B387" t="s">
        <v>1060</v>
      </c>
      <c r="C387" s="21" t="s">
        <v>1059</v>
      </c>
    </row>
    <row r="388" spans="1:3">
      <c r="A388" s="21" t="s">
        <v>941</v>
      </c>
      <c r="B388" s="35" t="s">
        <v>1161</v>
      </c>
      <c r="C388" s="39" t="s">
        <v>1159</v>
      </c>
    </row>
    <row r="389" spans="1:3">
      <c r="A389" s="21" t="s">
        <v>942</v>
      </c>
      <c r="B389" s="35" t="s">
        <v>1162</v>
      </c>
      <c r="C389" s="39" t="s">
        <v>1160</v>
      </c>
    </row>
    <row r="390" spans="1:3">
      <c r="A390" s="21" t="s">
        <v>943</v>
      </c>
      <c r="B390" t="s">
        <v>1061</v>
      </c>
      <c r="C390" s="21" t="s">
        <v>943</v>
      </c>
    </row>
    <row r="391" spans="1:3">
      <c r="A391" s="21" t="s">
        <v>1062</v>
      </c>
      <c r="B391" t="s">
        <v>1063</v>
      </c>
      <c r="C391" s="21" t="s">
        <v>944</v>
      </c>
    </row>
    <row r="392" spans="1:3">
      <c r="A392" s="21" t="s">
        <v>1064</v>
      </c>
      <c r="B392" t="s">
        <v>1065</v>
      </c>
      <c r="C392" s="21" t="s">
        <v>945</v>
      </c>
    </row>
    <row r="393" spans="1:3" ht="25.5">
      <c r="A393" s="21" t="s">
        <v>1066</v>
      </c>
      <c r="B393" s="21" t="s">
        <v>1067</v>
      </c>
      <c r="C393" s="21" t="s">
        <v>1066</v>
      </c>
    </row>
    <row r="394" spans="1:3">
      <c r="A394" s="21" t="s">
        <v>1068</v>
      </c>
      <c r="B394" s="21" t="s">
        <v>1069</v>
      </c>
      <c r="C394" s="21" t="s">
        <v>1068</v>
      </c>
    </row>
    <row r="395" spans="1:3" ht="25.5">
      <c r="A395" s="21" t="s">
        <v>946</v>
      </c>
      <c r="B395" s="21" t="s">
        <v>1070</v>
      </c>
      <c r="C395" s="21" t="s">
        <v>946</v>
      </c>
    </row>
    <row r="396" spans="1:3">
      <c r="A396" s="21" t="s">
        <v>947</v>
      </c>
      <c r="B396" s="21" t="s">
        <v>1071</v>
      </c>
      <c r="C396" s="21" t="s">
        <v>947</v>
      </c>
    </row>
    <row r="397" spans="1:3" ht="153">
      <c r="A397" s="73" t="s">
        <v>1072</v>
      </c>
      <c r="B397" s="22" t="s">
        <v>1163</v>
      </c>
      <c r="C397" s="73" t="s">
        <v>1073</v>
      </c>
    </row>
    <row r="398" spans="1:3">
      <c r="A398" s="22" t="s">
        <v>1076</v>
      </c>
      <c r="B398" s="22" t="s">
        <v>1077</v>
      </c>
      <c r="C398" s="22" t="s">
        <v>948</v>
      </c>
    </row>
  </sheetData>
  <sheetProtection algorithmName="SHA-512" hashValue="OUMEiyhmKn+kCDSkv2xiBXQZv98M0XxS+O5A17Cz49nzxugqrWYeYMG0hgNwIQbKfj5ILNFTMpTbc1OaGi/Rdg==" saltValue="vk1Vu3uAb7Ma9KFJFZOxLA==" spinCount="100000" sheet="1" objects="1" scenarios="1" selectLockedCells="1" selectUnlockedCells="1"/>
  <phoneticPr fontId="4"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14</vt:i4>
      </vt:variant>
    </vt:vector>
  </HeadingPairs>
  <TitlesOfParts>
    <vt:vector size="31" baseType="lpstr">
      <vt:lpstr>Rules for PPAP</vt:lpstr>
      <vt:lpstr>PSW</vt:lpstr>
      <vt:lpstr>Content</vt:lpstr>
      <vt:lpstr>DIM Test</vt:lpstr>
      <vt:lpstr>MAT Test</vt:lpstr>
      <vt:lpstr>Performance Test</vt:lpstr>
      <vt:lpstr>P-FMEA</vt:lpstr>
      <vt:lpstr>Process Capability</vt:lpstr>
      <vt:lpstr>Self Assessment Product</vt:lpstr>
      <vt:lpstr>Self Assessment Process</vt:lpstr>
      <vt:lpstr>Tool List</vt:lpstr>
      <vt:lpstr>Checking Aids</vt:lpstr>
      <vt:lpstr>Part Delivery History</vt:lpstr>
      <vt:lpstr>PPAP Status Sub-Suppliers</vt:lpstr>
      <vt:lpstr>Packaging</vt:lpstr>
      <vt:lpstr>Capacity Confirmation</vt:lpstr>
      <vt:lpstr>Translations</vt:lpstr>
      <vt:lpstr>'Capacity Confirmation'!Druckbereich</vt:lpstr>
      <vt:lpstr>'Checking Aids'!Druckbereich</vt:lpstr>
      <vt:lpstr>Content!Druckbereich</vt:lpstr>
      <vt:lpstr>'DIM Test'!Druckbereich</vt:lpstr>
      <vt:lpstr>'MAT Test'!Druckbereich</vt:lpstr>
      <vt:lpstr>Packaging!Druckbereich</vt:lpstr>
      <vt:lpstr>'Part Delivery History'!Druckbereich</vt:lpstr>
      <vt:lpstr>'P-FMEA'!Druckbereich</vt:lpstr>
      <vt:lpstr>'PPAP Status Sub-Suppliers'!Druckbereich</vt:lpstr>
      <vt:lpstr>'Process Capability'!Druckbereich</vt:lpstr>
      <vt:lpstr>PSW!Druckbereich</vt:lpstr>
      <vt:lpstr>'Self Assessment Process'!Druckbereich</vt:lpstr>
      <vt:lpstr>'Self Assessment Product'!Druckbereich</vt:lpstr>
      <vt:lpstr>'Tool List'!Druckbereich</vt:lpstr>
    </vt:vector>
  </TitlesOfParts>
  <Company>FILTERWERK MANN+HUMMEL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104503</dc:creator>
  <cp:lastModifiedBy>Liedtke, Jens-Uwe</cp:lastModifiedBy>
  <cp:lastPrinted>2019-01-29T13:25:22Z</cp:lastPrinted>
  <dcterms:created xsi:type="dcterms:W3CDTF">2002-05-24T05:16:11Z</dcterms:created>
  <dcterms:modified xsi:type="dcterms:W3CDTF">2019-01-29T13:30:29Z</dcterms:modified>
</cp:coreProperties>
</file>